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5C1\EXCELCNV\d7fd560e-aa82-4ed9-a017-dcebec40e2d3\"/>
    </mc:Choice>
  </mc:AlternateContent>
  <xr:revisionPtr revIDLastSave="0" documentId="8_{13DF3D07-D5D9-40ED-9847-52B82E4FB585}" xr6:coauthVersionLast="47" xr6:coauthVersionMax="47" xr10:uidLastSave="{00000000-0000-0000-0000-000000000000}"/>
  <bookViews>
    <workbookView xWindow="-60" yWindow="-60" windowWidth="15480" windowHeight="11640" firstSheet="2" activeTab="2" xr2:uid="{ECD83EDE-F59D-4466-B100-E235E8EA1F7E}"/>
  </bookViews>
  <sheets>
    <sheet name="IMATGES" sheetId="6" r:id="rId1"/>
    <sheet name="Dades empresa" sheetId="4" r:id="rId2"/>
    <sheet name="Dades finestra" sheetId="1" r:id="rId3"/>
    <sheet name="ETIQUETA_EE" sheetId="5" r:id="rId4"/>
    <sheet name="ETIQUETA" sheetId="2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0" i="1"/>
  <c r="G19" i="1"/>
  <c r="AR92" i="1"/>
  <c r="AR91" i="1"/>
  <c r="AR90" i="1"/>
  <c r="AR67" i="1"/>
  <c r="AR66" i="1"/>
  <c r="AR64" i="1"/>
  <c r="AR42" i="1"/>
  <c r="AR41" i="1"/>
  <c r="AR40" i="1"/>
  <c r="AR16" i="1"/>
  <c r="G15" i="1"/>
  <c r="E24" i="5"/>
  <c r="AR17" i="1"/>
  <c r="G53" i="5"/>
  <c r="B53" i="5"/>
  <c r="G24" i="5"/>
  <c r="B24" i="5"/>
  <c r="G57" i="5"/>
  <c r="G56" i="5"/>
  <c r="G55" i="5"/>
  <c r="B57" i="5"/>
  <c r="B56" i="5"/>
  <c r="B55" i="5"/>
  <c r="G28" i="5"/>
  <c r="G27" i="5"/>
  <c r="G26" i="5"/>
  <c r="B28" i="5"/>
  <c r="B27" i="5"/>
  <c r="B26" i="5"/>
  <c r="G91" i="1"/>
  <c r="I48" i="5"/>
  <c r="G66" i="1"/>
  <c r="G41" i="1"/>
  <c r="I16" i="5"/>
  <c r="G17" i="1"/>
  <c r="D16" i="5"/>
  <c r="G31" i="5"/>
  <c r="B31" i="5"/>
  <c r="G2" i="5"/>
  <c r="B2" i="5"/>
  <c r="E1" i="2"/>
  <c r="CB103" i="1"/>
  <c r="BU103" i="1"/>
  <c r="BM103" i="1"/>
  <c r="BE103" i="1"/>
  <c r="AW103" i="1"/>
  <c r="CB102" i="1"/>
  <c r="BU102" i="1"/>
  <c r="BM102" i="1"/>
  <c r="BE102" i="1"/>
  <c r="AW102" i="1"/>
  <c r="CB101" i="1"/>
  <c r="BU101" i="1"/>
  <c r="CB100" i="1"/>
  <c r="BU100" i="1"/>
  <c r="BM100" i="1"/>
  <c r="BE100" i="1"/>
  <c r="AW100" i="1"/>
  <c r="CB99" i="1"/>
  <c r="BU99" i="1"/>
  <c r="BM99" i="1"/>
  <c r="BE99" i="1"/>
  <c r="AW99" i="1"/>
  <c r="CB98" i="1"/>
  <c r="BU98" i="1"/>
  <c r="BM98" i="1"/>
  <c r="BE98" i="1"/>
  <c r="AW98" i="1"/>
  <c r="CB97" i="1"/>
  <c r="BU97" i="1"/>
  <c r="BM97" i="1"/>
  <c r="BE97" i="1"/>
  <c r="AW97" i="1"/>
  <c r="CB96" i="1"/>
  <c r="BU96" i="1"/>
  <c r="BM96" i="1"/>
  <c r="BE96" i="1"/>
  <c r="AW96" i="1"/>
  <c r="CB95" i="1"/>
  <c r="BU95" i="1"/>
  <c r="BM95" i="1"/>
  <c r="BE95" i="1"/>
  <c r="AW95" i="1"/>
  <c r="CB94" i="1"/>
  <c r="BU94" i="1"/>
  <c r="BM94" i="1"/>
  <c r="BE94" i="1"/>
  <c r="AW94" i="1"/>
  <c r="CB93" i="1"/>
  <c r="BU93" i="1"/>
  <c r="BM93" i="1"/>
  <c r="BE93" i="1"/>
  <c r="AW93" i="1"/>
  <c r="CB92" i="1"/>
  <c r="BU92" i="1"/>
  <c r="CB91" i="1"/>
  <c r="BU91" i="1"/>
  <c r="CB89" i="1"/>
  <c r="BU89" i="1"/>
  <c r="BM89" i="1"/>
  <c r="CB88" i="1"/>
  <c r="BU88" i="1"/>
  <c r="BM88" i="1"/>
  <c r="BE88" i="1"/>
  <c r="AW88" i="1"/>
  <c r="CB87" i="1"/>
  <c r="BU87" i="1"/>
  <c r="BM87" i="1"/>
  <c r="BE87" i="1"/>
  <c r="AW87" i="1"/>
  <c r="CB86" i="1"/>
  <c r="BU86" i="1"/>
  <c r="BM86" i="1"/>
  <c r="BE86" i="1"/>
  <c r="AW86" i="1"/>
  <c r="CB85" i="1"/>
  <c r="BU85" i="1"/>
  <c r="BM85" i="1"/>
  <c r="BE85" i="1"/>
  <c r="AW85" i="1"/>
  <c r="CB84" i="1"/>
  <c r="BU84" i="1"/>
  <c r="BM84" i="1"/>
  <c r="BE84" i="1"/>
  <c r="AW84" i="1"/>
  <c r="CB83" i="1"/>
  <c r="BU83" i="1"/>
  <c r="BM83" i="1"/>
  <c r="BE83" i="1"/>
  <c r="AW83" i="1"/>
  <c r="CB82" i="1"/>
  <c r="BU82" i="1"/>
  <c r="BM82" i="1"/>
  <c r="BE82" i="1"/>
  <c r="AW82" i="1"/>
  <c r="CB78" i="1"/>
  <c r="BU78" i="1"/>
  <c r="BM78" i="1"/>
  <c r="BE78" i="1"/>
  <c r="AW78" i="1"/>
  <c r="CB77" i="1"/>
  <c r="BU77" i="1"/>
  <c r="BM77" i="1"/>
  <c r="BE77" i="1"/>
  <c r="AW77" i="1"/>
  <c r="CB76" i="1"/>
  <c r="BU76" i="1"/>
  <c r="CB75" i="1"/>
  <c r="BU75" i="1"/>
  <c r="BM75" i="1"/>
  <c r="BE75" i="1"/>
  <c r="AW75" i="1"/>
  <c r="CB74" i="1"/>
  <c r="BU74" i="1"/>
  <c r="BM74" i="1"/>
  <c r="BE74" i="1"/>
  <c r="AW74" i="1"/>
  <c r="CB73" i="1"/>
  <c r="BU73" i="1"/>
  <c r="BM73" i="1"/>
  <c r="BE73" i="1"/>
  <c r="AW73" i="1"/>
  <c r="CB72" i="1"/>
  <c r="BU72" i="1"/>
  <c r="BM72" i="1"/>
  <c r="BE72" i="1"/>
  <c r="AW72" i="1"/>
  <c r="CB71" i="1"/>
  <c r="BU71" i="1"/>
  <c r="BM71" i="1"/>
  <c r="BE71" i="1"/>
  <c r="AW71" i="1"/>
  <c r="CB70" i="1"/>
  <c r="BU70" i="1"/>
  <c r="BM70" i="1"/>
  <c r="BE70" i="1"/>
  <c r="AW70" i="1"/>
  <c r="CB69" i="1"/>
  <c r="BU69" i="1"/>
  <c r="BM69" i="1"/>
  <c r="BE69" i="1"/>
  <c r="AW69" i="1"/>
  <c r="CB68" i="1"/>
  <c r="BU68" i="1"/>
  <c r="BM68" i="1"/>
  <c r="BE68" i="1"/>
  <c r="AW68" i="1"/>
  <c r="CB67" i="1"/>
  <c r="BU67" i="1"/>
  <c r="CB66" i="1"/>
  <c r="BU66" i="1"/>
  <c r="CB65" i="1"/>
  <c r="BU65" i="1"/>
  <c r="BM65" i="1"/>
  <c r="CB63" i="1"/>
  <c r="BU63" i="1"/>
  <c r="BM63" i="1"/>
  <c r="BE63" i="1"/>
  <c r="AW63" i="1"/>
  <c r="CB62" i="1"/>
  <c r="BU62" i="1"/>
  <c r="BM62" i="1"/>
  <c r="BE62" i="1"/>
  <c r="AW62" i="1"/>
  <c r="CB61" i="1"/>
  <c r="BU61" i="1"/>
  <c r="BM61" i="1"/>
  <c r="BE61" i="1"/>
  <c r="AW61" i="1"/>
  <c r="CB60" i="1"/>
  <c r="BU60" i="1"/>
  <c r="BM60" i="1"/>
  <c r="BE60" i="1"/>
  <c r="AW60" i="1"/>
  <c r="CB59" i="1"/>
  <c r="BU59" i="1"/>
  <c r="BM59" i="1"/>
  <c r="BE59" i="1"/>
  <c r="AW59" i="1"/>
  <c r="CB58" i="1"/>
  <c r="BU58" i="1"/>
  <c r="BM58" i="1"/>
  <c r="BE58" i="1"/>
  <c r="AW58" i="1"/>
  <c r="CB57" i="1"/>
  <c r="BU57" i="1"/>
  <c r="BM57" i="1"/>
  <c r="BE57" i="1"/>
  <c r="AW57" i="1"/>
  <c r="CB53" i="1"/>
  <c r="BU53" i="1"/>
  <c r="BM53" i="1"/>
  <c r="BE53" i="1"/>
  <c r="AW53" i="1"/>
  <c r="CB52" i="1"/>
  <c r="BU52" i="1"/>
  <c r="BM52" i="1"/>
  <c r="BE52" i="1"/>
  <c r="AW52" i="1"/>
  <c r="CB51" i="1"/>
  <c r="BU51" i="1"/>
  <c r="CB50" i="1"/>
  <c r="BU50" i="1"/>
  <c r="BM50" i="1"/>
  <c r="BE50" i="1"/>
  <c r="AW50" i="1"/>
  <c r="CB49" i="1"/>
  <c r="BU49" i="1"/>
  <c r="BM49" i="1"/>
  <c r="BE49" i="1"/>
  <c r="AW49" i="1"/>
  <c r="CB48" i="1"/>
  <c r="BU48" i="1"/>
  <c r="BM48" i="1"/>
  <c r="BE48" i="1"/>
  <c r="AW48" i="1"/>
  <c r="CB47" i="1"/>
  <c r="BU47" i="1"/>
  <c r="BM47" i="1"/>
  <c r="BE47" i="1"/>
  <c r="AW47" i="1"/>
  <c r="CB46" i="1"/>
  <c r="BU46" i="1"/>
  <c r="BM46" i="1"/>
  <c r="BE46" i="1"/>
  <c r="AW46" i="1"/>
  <c r="CB45" i="1"/>
  <c r="BU45" i="1"/>
  <c r="BM45" i="1"/>
  <c r="BE45" i="1"/>
  <c r="AW45" i="1"/>
  <c r="CB44" i="1"/>
  <c r="BU44" i="1"/>
  <c r="BM44" i="1"/>
  <c r="BE44" i="1"/>
  <c r="AW44" i="1"/>
  <c r="CB43" i="1"/>
  <c r="BU43" i="1"/>
  <c r="BM43" i="1"/>
  <c r="BE43" i="1"/>
  <c r="AW43" i="1"/>
  <c r="CB42" i="1"/>
  <c r="BU42" i="1"/>
  <c r="CB41" i="1"/>
  <c r="BU41" i="1"/>
  <c r="CB39" i="1"/>
  <c r="BU39" i="1"/>
  <c r="BM39" i="1"/>
  <c r="CB38" i="1"/>
  <c r="BU38" i="1"/>
  <c r="BM38" i="1"/>
  <c r="BE38" i="1"/>
  <c r="AW38" i="1"/>
  <c r="CB37" i="1"/>
  <c r="BU37" i="1"/>
  <c r="BM37" i="1"/>
  <c r="BE37" i="1"/>
  <c r="AW37" i="1"/>
  <c r="CB36" i="1"/>
  <c r="BU36" i="1"/>
  <c r="BM36" i="1"/>
  <c r="BE36" i="1"/>
  <c r="AW36" i="1"/>
  <c r="CB35" i="1"/>
  <c r="BU35" i="1"/>
  <c r="BM35" i="1"/>
  <c r="BE35" i="1"/>
  <c r="AW35" i="1"/>
  <c r="CB34" i="1"/>
  <c r="BU34" i="1"/>
  <c r="BM34" i="1"/>
  <c r="BE34" i="1"/>
  <c r="AW34" i="1"/>
  <c r="CB33" i="1"/>
  <c r="BU33" i="1"/>
  <c r="BM33" i="1"/>
  <c r="BE33" i="1"/>
  <c r="AW33" i="1"/>
  <c r="CB32" i="1"/>
  <c r="BU32" i="1"/>
  <c r="BM32" i="1"/>
  <c r="BE32" i="1"/>
  <c r="AW32" i="1"/>
  <c r="CB15" i="1"/>
  <c r="BU15" i="1"/>
  <c r="BM15" i="1"/>
  <c r="CB26" i="1"/>
  <c r="BU26" i="1"/>
  <c r="AI102" i="1"/>
  <c r="AH102" i="1"/>
  <c r="AG102" i="1"/>
  <c r="U102" i="1"/>
  <c r="T102" i="1"/>
  <c r="S102" i="1"/>
  <c r="O102" i="1"/>
  <c r="AI101" i="1"/>
  <c r="AH101" i="1"/>
  <c r="AG101" i="1"/>
  <c r="U101" i="1"/>
  <c r="CI101" i="1"/>
  <c r="T101" i="1"/>
  <c r="S101" i="1"/>
  <c r="AO101" i="1"/>
  <c r="O101" i="1"/>
  <c r="AI77" i="1"/>
  <c r="AH77" i="1"/>
  <c r="AG77" i="1"/>
  <c r="U77" i="1"/>
  <c r="T77" i="1"/>
  <c r="S77" i="1"/>
  <c r="O77" i="1"/>
  <c r="AI76" i="1"/>
  <c r="AH76" i="1"/>
  <c r="AG76" i="1"/>
  <c r="U76" i="1"/>
  <c r="CI76" i="1"/>
  <c r="T76" i="1"/>
  <c r="V76" i="1"/>
  <c r="S76" i="1"/>
  <c r="AO76" i="1"/>
  <c r="O76" i="1"/>
  <c r="O78" i="1"/>
  <c r="S78" i="1"/>
  <c r="T78" i="1"/>
  <c r="V78" i="1"/>
  <c r="U78" i="1"/>
  <c r="AG78" i="1"/>
  <c r="AH78" i="1"/>
  <c r="AI78" i="1"/>
  <c r="AI52" i="1"/>
  <c r="AH52" i="1"/>
  <c r="AG52" i="1"/>
  <c r="U52" i="1"/>
  <c r="CI52" i="1"/>
  <c r="T52" i="1"/>
  <c r="S52" i="1"/>
  <c r="O52" i="1"/>
  <c r="AI51" i="1"/>
  <c r="AH51" i="1"/>
  <c r="AG51" i="1"/>
  <c r="U51" i="1"/>
  <c r="CI51" i="1"/>
  <c r="T51" i="1"/>
  <c r="S51" i="1"/>
  <c r="AO51" i="1"/>
  <c r="O51" i="1"/>
  <c r="S16" i="1"/>
  <c r="AO16" i="1"/>
  <c r="O26" i="1"/>
  <c r="S26" i="1"/>
  <c r="AO26" i="1"/>
  <c r="T26" i="1"/>
  <c r="AK26" i="1"/>
  <c r="U26" i="1"/>
  <c r="AG26" i="1"/>
  <c r="AH26" i="1"/>
  <c r="AI26" i="1"/>
  <c r="AO21" i="1"/>
  <c r="AO22" i="1"/>
  <c r="AQ54" i="1"/>
  <c r="AO9" i="1"/>
  <c r="AO8" i="1"/>
  <c r="AO32" i="1"/>
  <c r="AO33" i="1"/>
  <c r="AO46" i="1"/>
  <c r="AO47" i="1"/>
  <c r="AO57" i="1"/>
  <c r="AO58" i="1"/>
  <c r="AO71" i="1"/>
  <c r="AO72" i="1"/>
  <c r="AO82" i="1"/>
  <c r="AO83" i="1"/>
  <c r="AO96" i="1"/>
  <c r="AO97" i="1"/>
  <c r="H19" i="1"/>
  <c r="P11" i="1"/>
  <c r="U103" i="1"/>
  <c r="CI103" i="1"/>
  <c r="T103" i="1"/>
  <c r="U100" i="1"/>
  <c r="CI100" i="1"/>
  <c r="T100" i="1"/>
  <c r="U99" i="1"/>
  <c r="CI99" i="1"/>
  <c r="T99" i="1"/>
  <c r="V99" i="1"/>
  <c r="U98" i="1"/>
  <c r="CI98" i="1"/>
  <c r="T98" i="1"/>
  <c r="U97" i="1"/>
  <c r="CI97" i="1"/>
  <c r="T97" i="1"/>
  <c r="U96" i="1"/>
  <c r="CI96" i="1"/>
  <c r="T96" i="1"/>
  <c r="AK96" i="1"/>
  <c r="U95" i="1"/>
  <c r="CI95" i="1"/>
  <c r="T95" i="1"/>
  <c r="U94" i="1"/>
  <c r="CI94" i="1"/>
  <c r="T94" i="1"/>
  <c r="U93" i="1"/>
  <c r="V93" i="1"/>
  <c r="CG93" i="1"/>
  <c r="CH93" i="1"/>
  <c r="DF93" i="1"/>
  <c r="T93" i="1"/>
  <c r="U92" i="1"/>
  <c r="CI92" i="1"/>
  <c r="T92" i="1"/>
  <c r="V92" i="1"/>
  <c r="CG92" i="1"/>
  <c r="CH92" i="1"/>
  <c r="DF92" i="1"/>
  <c r="U91" i="1"/>
  <c r="CI91" i="1"/>
  <c r="T91" i="1"/>
  <c r="V91" i="1"/>
  <c r="CJ91" i="1"/>
  <c r="U89" i="1"/>
  <c r="CI89" i="1"/>
  <c r="T89" i="1"/>
  <c r="U88" i="1"/>
  <c r="AK88" i="1"/>
  <c r="T88" i="1"/>
  <c r="V88" i="1"/>
  <c r="CJ88" i="1"/>
  <c r="U87" i="1"/>
  <c r="T87" i="1"/>
  <c r="AK87" i="1"/>
  <c r="U86" i="1"/>
  <c r="CI86" i="1"/>
  <c r="T86" i="1"/>
  <c r="AK86" i="1"/>
  <c r="U85" i="1"/>
  <c r="T85" i="1"/>
  <c r="U84" i="1"/>
  <c r="T84" i="1"/>
  <c r="U83" i="1"/>
  <c r="T83" i="1"/>
  <c r="V83" i="1"/>
  <c r="O103" i="1"/>
  <c r="O100" i="1"/>
  <c r="O99" i="1"/>
  <c r="O98" i="1"/>
  <c r="O97" i="1"/>
  <c r="O96" i="1"/>
  <c r="O95" i="1"/>
  <c r="O94" i="1"/>
  <c r="O93" i="1"/>
  <c r="O92" i="1"/>
  <c r="O91" i="1"/>
  <c r="O89" i="1"/>
  <c r="O88" i="1"/>
  <c r="O87" i="1"/>
  <c r="O86" i="1"/>
  <c r="O85" i="1"/>
  <c r="O84" i="1"/>
  <c r="O83" i="1"/>
  <c r="U82" i="1"/>
  <c r="T82" i="1"/>
  <c r="V82" i="1"/>
  <c r="S82" i="1"/>
  <c r="O82" i="1"/>
  <c r="U75" i="1"/>
  <c r="CI75" i="1"/>
  <c r="T75" i="1"/>
  <c r="U74" i="1"/>
  <c r="T74" i="1"/>
  <c r="AK74" i="1"/>
  <c r="AJ74" i="1"/>
  <c r="AP74" i="1"/>
  <c r="U73" i="1"/>
  <c r="CI73" i="1"/>
  <c r="T73" i="1"/>
  <c r="AK73" i="1"/>
  <c r="U72" i="1"/>
  <c r="AK72" i="1"/>
  <c r="T72" i="1"/>
  <c r="U71" i="1"/>
  <c r="CI71" i="1"/>
  <c r="T71" i="1"/>
  <c r="U70" i="1"/>
  <c r="T70" i="1"/>
  <c r="U69" i="1"/>
  <c r="CI69" i="1"/>
  <c r="T69" i="1"/>
  <c r="AK69" i="1"/>
  <c r="U68" i="1"/>
  <c r="T68" i="1"/>
  <c r="U67" i="1"/>
  <c r="AL67" i="1"/>
  <c r="T67" i="1"/>
  <c r="U66" i="1"/>
  <c r="AM66" i="1"/>
  <c r="T66" i="1"/>
  <c r="U65" i="1"/>
  <c r="T65" i="1"/>
  <c r="V65" i="1"/>
  <c r="CG65" i="1"/>
  <c r="CH65" i="1"/>
  <c r="U63" i="1"/>
  <c r="T63" i="1"/>
  <c r="U62" i="1"/>
  <c r="T62" i="1"/>
  <c r="V62" i="1"/>
  <c r="U61" i="1"/>
  <c r="T61" i="1"/>
  <c r="AK61" i="1"/>
  <c r="U60" i="1"/>
  <c r="CI60" i="1"/>
  <c r="T60" i="1"/>
  <c r="AK60" i="1"/>
  <c r="U59" i="1"/>
  <c r="AK59" i="1"/>
  <c r="T59" i="1"/>
  <c r="U58" i="1"/>
  <c r="T58" i="1"/>
  <c r="O75" i="1"/>
  <c r="O74" i="1"/>
  <c r="O73" i="1"/>
  <c r="O72" i="1"/>
  <c r="O71" i="1"/>
  <c r="O70" i="1"/>
  <c r="O69" i="1"/>
  <c r="O68" i="1"/>
  <c r="O67" i="1"/>
  <c r="O66" i="1"/>
  <c r="O65" i="1"/>
  <c r="O63" i="1"/>
  <c r="O62" i="1"/>
  <c r="O61" i="1"/>
  <c r="O60" i="1"/>
  <c r="O59" i="1"/>
  <c r="O58" i="1"/>
  <c r="U57" i="1"/>
  <c r="CI57" i="1"/>
  <c r="T57" i="1"/>
  <c r="O57" i="1"/>
  <c r="O33" i="1"/>
  <c r="O34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3" i="1"/>
  <c r="U53" i="1"/>
  <c r="AM53" i="1"/>
  <c r="T53" i="1"/>
  <c r="U50" i="1"/>
  <c r="T50" i="1"/>
  <c r="U49" i="1"/>
  <c r="CI49" i="1"/>
  <c r="T49" i="1"/>
  <c r="U48" i="1"/>
  <c r="CI48" i="1"/>
  <c r="T48" i="1"/>
  <c r="U47" i="1"/>
  <c r="CI47" i="1"/>
  <c r="T47" i="1"/>
  <c r="V47" i="1"/>
  <c r="U46" i="1"/>
  <c r="CI46" i="1"/>
  <c r="T46" i="1"/>
  <c r="AK46" i="1"/>
  <c r="U45" i="1"/>
  <c r="CI45" i="1"/>
  <c r="T45" i="1"/>
  <c r="U44" i="1"/>
  <c r="CI44" i="1"/>
  <c r="T44" i="1"/>
  <c r="U43" i="1"/>
  <c r="AK43" i="1"/>
  <c r="CI43" i="1"/>
  <c r="T43" i="1"/>
  <c r="U42" i="1"/>
  <c r="T42" i="1"/>
  <c r="AK42" i="1"/>
  <c r="U41" i="1"/>
  <c r="T41" i="1"/>
  <c r="V41" i="1"/>
  <c r="CJ41" i="1"/>
  <c r="AK41" i="1"/>
  <c r="U39" i="1"/>
  <c r="V39" i="1"/>
  <c r="CJ39" i="1"/>
  <c r="T39" i="1"/>
  <c r="U38" i="1"/>
  <c r="CI38" i="1"/>
  <c r="T38" i="1"/>
  <c r="U37" i="1"/>
  <c r="CI37" i="1"/>
  <c r="T37" i="1"/>
  <c r="U36" i="1"/>
  <c r="CI36" i="1"/>
  <c r="V36" i="1"/>
  <c r="T36" i="1"/>
  <c r="U35" i="1"/>
  <c r="T35" i="1"/>
  <c r="AK35" i="1"/>
  <c r="U34" i="1"/>
  <c r="T34" i="1"/>
  <c r="V34" i="1"/>
  <c r="U33" i="1"/>
  <c r="CI33" i="1"/>
  <c r="T33" i="1"/>
  <c r="S32" i="1"/>
  <c r="O32" i="1"/>
  <c r="AI103" i="1"/>
  <c r="AH103" i="1"/>
  <c r="AG103" i="1"/>
  <c r="S103" i="1"/>
  <c r="AI100" i="1"/>
  <c r="AH100" i="1"/>
  <c r="AG100" i="1"/>
  <c r="S100" i="1"/>
  <c r="AO100" i="1"/>
  <c r="AI99" i="1"/>
  <c r="AH99" i="1"/>
  <c r="AG99" i="1"/>
  <c r="S99" i="1"/>
  <c r="AO99" i="1"/>
  <c r="AI98" i="1"/>
  <c r="AH98" i="1"/>
  <c r="AG98" i="1"/>
  <c r="S98" i="1"/>
  <c r="AO98" i="1"/>
  <c r="AI97" i="1"/>
  <c r="AH97" i="1"/>
  <c r="AG97" i="1"/>
  <c r="S97" i="1"/>
  <c r="AI96" i="1"/>
  <c r="AH96" i="1"/>
  <c r="AG96" i="1"/>
  <c r="S96" i="1"/>
  <c r="D96" i="1"/>
  <c r="AI95" i="1"/>
  <c r="AH95" i="1"/>
  <c r="AG95" i="1"/>
  <c r="S95" i="1"/>
  <c r="AO95" i="1"/>
  <c r="I95" i="1"/>
  <c r="E54" i="2"/>
  <c r="G95" i="1"/>
  <c r="F65" i="2"/>
  <c r="D95" i="1"/>
  <c r="AI94" i="1"/>
  <c r="AH94" i="1"/>
  <c r="AG94" i="1"/>
  <c r="S94" i="1"/>
  <c r="AO94" i="1"/>
  <c r="D94" i="1"/>
  <c r="AI93" i="1"/>
  <c r="AH93" i="1"/>
  <c r="AG93" i="1"/>
  <c r="S93" i="1"/>
  <c r="AO93" i="1"/>
  <c r="I93" i="1"/>
  <c r="H93" i="1"/>
  <c r="P82" i="1"/>
  <c r="AI92" i="1"/>
  <c r="AH92" i="1"/>
  <c r="AG92" i="1"/>
  <c r="S92" i="1"/>
  <c r="AO92" i="1"/>
  <c r="AI91" i="1"/>
  <c r="AH91" i="1"/>
  <c r="AG91" i="1"/>
  <c r="S91" i="1"/>
  <c r="AO91" i="1"/>
  <c r="AI89" i="1"/>
  <c r="AH89" i="1"/>
  <c r="AG89" i="1"/>
  <c r="S89" i="1"/>
  <c r="AI88" i="1"/>
  <c r="AH88" i="1"/>
  <c r="AG88" i="1"/>
  <c r="S88" i="1"/>
  <c r="AI87" i="1"/>
  <c r="AH87" i="1"/>
  <c r="AG87" i="1"/>
  <c r="S87" i="1"/>
  <c r="AO87" i="1"/>
  <c r="AI86" i="1"/>
  <c r="AH86" i="1"/>
  <c r="AG86" i="1"/>
  <c r="S86" i="1"/>
  <c r="AO86" i="1"/>
  <c r="AI85" i="1"/>
  <c r="AH85" i="1"/>
  <c r="AG85" i="1"/>
  <c r="S85" i="1"/>
  <c r="AO85" i="1"/>
  <c r="AP85" i="1"/>
  <c r="AI84" i="1"/>
  <c r="AH84" i="1"/>
  <c r="AG84" i="1"/>
  <c r="S84" i="1"/>
  <c r="AO84" i="1"/>
  <c r="AI83" i="1"/>
  <c r="AH83" i="1"/>
  <c r="AG83" i="1"/>
  <c r="S83" i="1"/>
  <c r="AI82" i="1"/>
  <c r="AH82" i="1"/>
  <c r="AG82" i="1"/>
  <c r="AI75" i="1"/>
  <c r="AH75" i="1"/>
  <c r="AG75" i="1"/>
  <c r="S75" i="1"/>
  <c r="AO75" i="1"/>
  <c r="AI74" i="1"/>
  <c r="AH74" i="1"/>
  <c r="AG74" i="1"/>
  <c r="S74" i="1"/>
  <c r="AO74" i="1"/>
  <c r="AI73" i="1"/>
  <c r="AH73" i="1"/>
  <c r="AG73" i="1"/>
  <c r="S73" i="1"/>
  <c r="AO73" i="1"/>
  <c r="AI72" i="1"/>
  <c r="AH72" i="1"/>
  <c r="AG72" i="1"/>
  <c r="S72" i="1"/>
  <c r="AI71" i="1"/>
  <c r="AH71" i="1"/>
  <c r="AG71" i="1"/>
  <c r="S71" i="1"/>
  <c r="D71" i="1"/>
  <c r="AI70" i="1"/>
  <c r="AH70" i="1"/>
  <c r="AG70" i="1"/>
  <c r="S70" i="1"/>
  <c r="AO70" i="1"/>
  <c r="I70" i="1"/>
  <c r="B54" i="2"/>
  <c r="G70" i="1"/>
  <c r="C65" i="2"/>
  <c r="D70" i="1"/>
  <c r="AI69" i="1"/>
  <c r="AH69" i="1"/>
  <c r="AG69" i="1"/>
  <c r="S69" i="1"/>
  <c r="AO69" i="1"/>
  <c r="D69" i="1"/>
  <c r="AI68" i="1"/>
  <c r="AH68" i="1"/>
  <c r="AG68" i="1"/>
  <c r="S68" i="1"/>
  <c r="AO68" i="1"/>
  <c r="I68" i="1"/>
  <c r="Q72" i="1"/>
  <c r="H68" i="1"/>
  <c r="AI67" i="1"/>
  <c r="AH67" i="1"/>
  <c r="AG67" i="1"/>
  <c r="S67" i="1"/>
  <c r="AO67" i="1"/>
  <c r="AI66" i="1"/>
  <c r="AH66" i="1"/>
  <c r="AG66" i="1"/>
  <c r="S66" i="1"/>
  <c r="AO66" i="1"/>
  <c r="AI65" i="1"/>
  <c r="AH65" i="1"/>
  <c r="AG65" i="1"/>
  <c r="S65" i="1"/>
  <c r="AI63" i="1"/>
  <c r="AH63" i="1"/>
  <c r="AG63" i="1"/>
  <c r="S63" i="1"/>
  <c r="AI62" i="1"/>
  <c r="AH62" i="1"/>
  <c r="AG62" i="1"/>
  <c r="S62" i="1"/>
  <c r="AO62" i="1"/>
  <c r="AI61" i="1"/>
  <c r="AH61" i="1"/>
  <c r="AG61" i="1"/>
  <c r="S61" i="1"/>
  <c r="AO61" i="1"/>
  <c r="AI60" i="1"/>
  <c r="AH60" i="1"/>
  <c r="AG60" i="1"/>
  <c r="S60" i="1"/>
  <c r="AO60" i="1"/>
  <c r="AI59" i="1"/>
  <c r="AH59" i="1"/>
  <c r="AG59" i="1"/>
  <c r="S59" i="1"/>
  <c r="AO59" i="1"/>
  <c r="AI58" i="1"/>
  <c r="AH58" i="1"/>
  <c r="AG58" i="1"/>
  <c r="S58" i="1"/>
  <c r="AI57" i="1"/>
  <c r="AH57" i="1"/>
  <c r="AG57" i="1"/>
  <c r="S57" i="1"/>
  <c r="AI25" i="1"/>
  <c r="AH25" i="1"/>
  <c r="AG25" i="1"/>
  <c r="U25" i="1"/>
  <c r="T25" i="1"/>
  <c r="S25" i="1"/>
  <c r="AO25" i="1"/>
  <c r="O25" i="1"/>
  <c r="AI24" i="1"/>
  <c r="AH24" i="1"/>
  <c r="AG24" i="1"/>
  <c r="U24" i="1"/>
  <c r="T24" i="1"/>
  <c r="S24" i="1"/>
  <c r="AO24" i="1"/>
  <c r="O24" i="1"/>
  <c r="AI23" i="1"/>
  <c r="AH23" i="1"/>
  <c r="AG23" i="1"/>
  <c r="U23" i="1"/>
  <c r="T23" i="1"/>
  <c r="V23" i="1"/>
  <c r="S23" i="1"/>
  <c r="AO23" i="1"/>
  <c r="O23" i="1"/>
  <c r="AI22" i="1"/>
  <c r="AH22" i="1"/>
  <c r="AG22" i="1"/>
  <c r="U22" i="1"/>
  <c r="T22" i="1"/>
  <c r="S22" i="1"/>
  <c r="O22" i="1"/>
  <c r="AI21" i="1"/>
  <c r="AH21" i="1"/>
  <c r="AG21" i="1"/>
  <c r="U21" i="1"/>
  <c r="CI21" i="1"/>
  <c r="T21" i="1"/>
  <c r="V21" i="1"/>
  <c r="S21" i="1"/>
  <c r="O21" i="1"/>
  <c r="AI20" i="1"/>
  <c r="AH20" i="1"/>
  <c r="AG20" i="1"/>
  <c r="U20" i="1"/>
  <c r="AK20" i="1"/>
  <c r="T20" i="1"/>
  <c r="S20" i="1"/>
  <c r="AO20" i="1"/>
  <c r="O20" i="1"/>
  <c r="AI19" i="1"/>
  <c r="AH19" i="1"/>
  <c r="AG19" i="1"/>
  <c r="U19" i="1"/>
  <c r="T19" i="1"/>
  <c r="S19" i="1"/>
  <c r="AO19" i="1"/>
  <c r="O19" i="1"/>
  <c r="AI18" i="1"/>
  <c r="AH18" i="1"/>
  <c r="AG18" i="1"/>
  <c r="U18" i="1"/>
  <c r="T18" i="1"/>
  <c r="S18" i="1"/>
  <c r="AO18" i="1"/>
  <c r="O18" i="1"/>
  <c r="AI17" i="1"/>
  <c r="AH17" i="1"/>
  <c r="AG17" i="1"/>
  <c r="U17" i="1"/>
  <c r="T17" i="1"/>
  <c r="S17" i="1"/>
  <c r="AO17" i="1"/>
  <c r="O17" i="1"/>
  <c r="AI16" i="1"/>
  <c r="AH16" i="1"/>
  <c r="AG16" i="1"/>
  <c r="U16" i="1"/>
  <c r="T16" i="1"/>
  <c r="V16" i="1"/>
  <c r="O16" i="1"/>
  <c r="AI15" i="1"/>
  <c r="AH15" i="1"/>
  <c r="AG15" i="1"/>
  <c r="U15" i="1"/>
  <c r="T15" i="1"/>
  <c r="S15" i="1"/>
  <c r="AO15" i="1"/>
  <c r="O15" i="1"/>
  <c r="CB16" i="1"/>
  <c r="BU16" i="1"/>
  <c r="AG39" i="1"/>
  <c r="AH39" i="1"/>
  <c r="AI39" i="1"/>
  <c r="AG41" i="1"/>
  <c r="AH41" i="1"/>
  <c r="AI41" i="1"/>
  <c r="S39" i="1"/>
  <c r="CB17" i="1"/>
  <c r="S41" i="1"/>
  <c r="AO41" i="1"/>
  <c r="S42" i="1"/>
  <c r="AO42" i="1"/>
  <c r="AG42" i="1"/>
  <c r="AH42" i="1"/>
  <c r="AI42" i="1"/>
  <c r="H43" i="1"/>
  <c r="P35" i="1"/>
  <c r="I43" i="1"/>
  <c r="Q53" i="1"/>
  <c r="S43" i="1"/>
  <c r="AO43" i="1"/>
  <c r="AG43" i="1"/>
  <c r="AH43" i="1"/>
  <c r="AI43" i="1"/>
  <c r="D44" i="1"/>
  <c r="S44" i="1"/>
  <c r="AO44" i="1"/>
  <c r="AG44" i="1"/>
  <c r="AH44" i="1"/>
  <c r="AI44" i="1"/>
  <c r="D45" i="1"/>
  <c r="Z34" i="1"/>
  <c r="Z50" i="1"/>
  <c r="G45" i="1"/>
  <c r="F29" i="2"/>
  <c r="I45" i="1"/>
  <c r="G7" i="5"/>
  <c r="S45" i="1"/>
  <c r="AO45" i="1"/>
  <c r="AG45" i="1"/>
  <c r="AH45" i="1"/>
  <c r="AI45" i="1"/>
  <c r="D46" i="1"/>
  <c r="S46" i="1"/>
  <c r="AG46" i="1"/>
  <c r="AH46" i="1"/>
  <c r="AI46" i="1"/>
  <c r="S47" i="1"/>
  <c r="AG47" i="1"/>
  <c r="AH47" i="1"/>
  <c r="AI47" i="1"/>
  <c r="S48" i="1"/>
  <c r="AO48" i="1"/>
  <c r="AG48" i="1"/>
  <c r="AH48" i="1"/>
  <c r="AI48" i="1"/>
  <c r="U32" i="1"/>
  <c r="T32" i="1"/>
  <c r="AI53" i="1"/>
  <c r="AH53" i="1"/>
  <c r="AG53" i="1"/>
  <c r="S53" i="1"/>
  <c r="AI50" i="1"/>
  <c r="AH50" i="1"/>
  <c r="AG50" i="1"/>
  <c r="S50" i="1"/>
  <c r="AO50" i="1"/>
  <c r="AI49" i="1"/>
  <c r="AH49" i="1"/>
  <c r="AG49" i="1"/>
  <c r="S49" i="1"/>
  <c r="AO49" i="1"/>
  <c r="AI38" i="1"/>
  <c r="AH38" i="1"/>
  <c r="AG38" i="1"/>
  <c r="S38" i="1"/>
  <c r="AI37" i="1"/>
  <c r="AH37" i="1"/>
  <c r="AG37" i="1"/>
  <c r="S37" i="1"/>
  <c r="AO37" i="1"/>
  <c r="AI36" i="1"/>
  <c r="AH36" i="1"/>
  <c r="AG36" i="1"/>
  <c r="S36" i="1"/>
  <c r="AO36" i="1"/>
  <c r="AI35" i="1"/>
  <c r="AH35" i="1"/>
  <c r="AG35" i="1"/>
  <c r="S35" i="1"/>
  <c r="AO35" i="1"/>
  <c r="AI34" i="1"/>
  <c r="AH34" i="1"/>
  <c r="AG34" i="1"/>
  <c r="S34" i="1"/>
  <c r="AO34" i="1"/>
  <c r="AI33" i="1"/>
  <c r="AH33" i="1"/>
  <c r="AG33" i="1"/>
  <c r="S33" i="1"/>
  <c r="AI32" i="1"/>
  <c r="AH32" i="1"/>
  <c r="AG32" i="1"/>
  <c r="CB14" i="1"/>
  <c r="BU14" i="1"/>
  <c r="BM14" i="1"/>
  <c r="BE14" i="1"/>
  <c r="CB13" i="1"/>
  <c r="BU13" i="1"/>
  <c r="BM13" i="1"/>
  <c r="BE13" i="1"/>
  <c r="CB21" i="1"/>
  <c r="BU21" i="1"/>
  <c r="BM21" i="1"/>
  <c r="BE21" i="1"/>
  <c r="AW21" i="1"/>
  <c r="D22" i="1"/>
  <c r="DF65" i="1"/>
  <c r="D21" i="1"/>
  <c r="Z28" i="1"/>
  <c r="D20" i="1"/>
  <c r="BU17" i="1"/>
  <c r="I19" i="1"/>
  <c r="U8" i="1"/>
  <c r="T8" i="1"/>
  <c r="AG8" i="1"/>
  <c r="AH8" i="1"/>
  <c r="AI8" i="1"/>
  <c r="AG9" i="1"/>
  <c r="AH9" i="1"/>
  <c r="AI9" i="1"/>
  <c r="T9" i="1"/>
  <c r="AG10" i="1"/>
  <c r="AH10" i="1"/>
  <c r="AI10" i="1"/>
  <c r="T10" i="1"/>
  <c r="AG11" i="1"/>
  <c r="AH11" i="1"/>
  <c r="AI11" i="1"/>
  <c r="T11" i="1"/>
  <c r="AK11" i="1"/>
  <c r="AG12" i="1"/>
  <c r="AH12" i="1"/>
  <c r="AI12" i="1"/>
  <c r="T12" i="1"/>
  <c r="AG14" i="1"/>
  <c r="AH14" i="1"/>
  <c r="AI14" i="1"/>
  <c r="T14" i="1"/>
  <c r="I21" i="1"/>
  <c r="B18" i="2"/>
  <c r="U27" i="1"/>
  <c r="T27" i="1"/>
  <c r="S9" i="1"/>
  <c r="S10" i="1"/>
  <c r="AO10" i="1"/>
  <c r="S11" i="1"/>
  <c r="AO11" i="1"/>
  <c r="S12" i="1"/>
  <c r="AO12" i="1"/>
  <c r="S13" i="1"/>
  <c r="AO13" i="1"/>
  <c r="S14" i="1"/>
  <c r="AO14" i="1"/>
  <c r="S27" i="1"/>
  <c r="S28" i="1"/>
  <c r="S8" i="1"/>
  <c r="AW27" i="1"/>
  <c r="BE27" i="1"/>
  <c r="BM27" i="1"/>
  <c r="BU27" i="1"/>
  <c r="CB27" i="1"/>
  <c r="AG27" i="1"/>
  <c r="AH27" i="1"/>
  <c r="AI27" i="1"/>
  <c r="T13" i="1"/>
  <c r="U13" i="1"/>
  <c r="CI13" i="1"/>
  <c r="AW13" i="1"/>
  <c r="AG13" i="1"/>
  <c r="AH13" i="1"/>
  <c r="AI13" i="1"/>
  <c r="BU18" i="1"/>
  <c r="BU19" i="1"/>
  <c r="BU20" i="1"/>
  <c r="BU22" i="1"/>
  <c r="BU23" i="1"/>
  <c r="BU24" i="1"/>
  <c r="BU25" i="1"/>
  <c r="BM18" i="1"/>
  <c r="BM19" i="1"/>
  <c r="BM20" i="1"/>
  <c r="BM22" i="1"/>
  <c r="BM23" i="1"/>
  <c r="BM24" i="1"/>
  <c r="BM25" i="1"/>
  <c r="BE18" i="1"/>
  <c r="BE19" i="1"/>
  <c r="BE20" i="1"/>
  <c r="BE22" i="1"/>
  <c r="BE23" i="1"/>
  <c r="BE24" i="1"/>
  <c r="BE25" i="1"/>
  <c r="BE12" i="1"/>
  <c r="U10" i="1"/>
  <c r="V10" i="1"/>
  <c r="CG10" i="1"/>
  <c r="CH10" i="1"/>
  <c r="DF10" i="1"/>
  <c r="CI10" i="1"/>
  <c r="AW10" i="1"/>
  <c r="BE10" i="1"/>
  <c r="BM10" i="1"/>
  <c r="BU10" i="1"/>
  <c r="T28" i="1"/>
  <c r="U28" i="1"/>
  <c r="AW28" i="1"/>
  <c r="BE28" i="1"/>
  <c r="BM28" i="1"/>
  <c r="BU28" i="1"/>
  <c r="U11" i="1"/>
  <c r="AW11" i="1"/>
  <c r="BE11" i="1"/>
  <c r="BM11" i="1"/>
  <c r="BU11" i="1"/>
  <c r="AW25" i="1"/>
  <c r="U9" i="1"/>
  <c r="CI9" i="1"/>
  <c r="AW9" i="1"/>
  <c r="BE9" i="1"/>
  <c r="BM9" i="1"/>
  <c r="BU9" i="1"/>
  <c r="U12" i="1"/>
  <c r="CI12" i="1"/>
  <c r="AW12" i="1"/>
  <c r="BM12" i="1"/>
  <c r="BU12" i="1"/>
  <c r="CB10" i="1"/>
  <c r="CB28" i="1"/>
  <c r="CB11" i="1"/>
  <c r="CB25" i="1"/>
  <c r="CB9" i="1"/>
  <c r="CB12" i="1"/>
  <c r="AG28" i="1"/>
  <c r="AH28" i="1"/>
  <c r="AI28" i="1"/>
  <c r="O27" i="1"/>
  <c r="O13" i="1"/>
  <c r="U14" i="1"/>
  <c r="AW14" i="1"/>
  <c r="AW18" i="1"/>
  <c r="AW19" i="1"/>
  <c r="AW20" i="1"/>
  <c r="O14" i="1"/>
  <c r="AW24" i="1"/>
  <c r="AW23" i="1"/>
  <c r="AW22" i="1"/>
  <c r="AW8" i="1"/>
  <c r="BE8" i="1"/>
  <c r="BM8" i="1"/>
  <c r="BU8" i="1"/>
  <c r="CB19" i="1"/>
  <c r="CB18" i="1"/>
  <c r="CB23" i="1"/>
  <c r="CB24" i="1"/>
  <c r="CB20" i="1"/>
  <c r="CB8" i="1"/>
  <c r="G21" i="1"/>
  <c r="C29" i="2"/>
  <c r="CB22" i="1"/>
  <c r="E37" i="2"/>
  <c r="B37" i="2"/>
  <c r="B1" i="2"/>
  <c r="E46" i="2"/>
  <c r="B46" i="2"/>
  <c r="E10" i="2"/>
  <c r="E47" i="2"/>
  <c r="B47" i="2"/>
  <c r="E11" i="2"/>
  <c r="B11" i="2"/>
  <c r="B10" i="2"/>
  <c r="E45" i="2"/>
  <c r="B45" i="2"/>
  <c r="E9" i="2"/>
  <c r="B9" i="2"/>
  <c r="O28" i="1"/>
  <c r="O12" i="1"/>
  <c r="O11" i="1"/>
  <c r="O10" i="1"/>
  <c r="O9" i="1"/>
  <c r="O8" i="1"/>
  <c r="Z14" i="1"/>
  <c r="Z91" i="1"/>
  <c r="Z85" i="1"/>
  <c r="P100" i="1"/>
  <c r="AL100" i="1"/>
  <c r="Q66" i="1"/>
  <c r="P74" i="1"/>
  <c r="AL74" i="1"/>
  <c r="Z49" i="1"/>
  <c r="Z44" i="1"/>
  <c r="Z45" i="1"/>
  <c r="Z19" i="1"/>
  <c r="P20" i="1"/>
  <c r="AL20" i="1"/>
  <c r="Z53" i="1"/>
  <c r="Z48" i="1"/>
  <c r="P53" i="1"/>
  <c r="AL53" i="1"/>
  <c r="P38" i="1"/>
  <c r="P39" i="1"/>
  <c r="AL39" i="1"/>
  <c r="P12" i="1"/>
  <c r="AL12" i="1"/>
  <c r="Q14" i="1"/>
  <c r="AM14" i="1"/>
  <c r="P28" i="1"/>
  <c r="P102" i="1"/>
  <c r="AL11" i="1"/>
  <c r="AJ11" i="1"/>
  <c r="AN11" i="1"/>
  <c r="AQ11" i="1"/>
  <c r="Q77" i="1"/>
  <c r="AM77" i="1"/>
  <c r="Q8" i="1"/>
  <c r="AM8" i="1"/>
  <c r="P13" i="1"/>
  <c r="AL13" i="1"/>
  <c r="Q23" i="1"/>
  <c r="AM23" i="1"/>
  <c r="P52" i="1"/>
  <c r="AL52" i="1"/>
  <c r="Q18" i="1"/>
  <c r="AM18" i="1"/>
  <c r="AK24" i="1"/>
  <c r="V24" i="1"/>
  <c r="CJ24" i="1"/>
  <c r="V89" i="1"/>
  <c r="CG89" i="1"/>
  <c r="CH89" i="1"/>
  <c r="DF89" i="1"/>
  <c r="P61" i="1"/>
  <c r="AL61" i="1"/>
  <c r="Q61" i="1"/>
  <c r="P57" i="1"/>
  <c r="P58" i="1"/>
  <c r="AL58" i="1"/>
  <c r="AM72" i="1"/>
  <c r="P65" i="1"/>
  <c r="Q65" i="1"/>
  <c r="AM65" i="1"/>
  <c r="P45" i="1"/>
  <c r="AK84" i="1"/>
  <c r="P88" i="1"/>
  <c r="AL88" i="1"/>
  <c r="P85" i="1"/>
  <c r="AL85" i="1"/>
  <c r="AJ85" i="1"/>
  <c r="AN85" i="1"/>
  <c r="Q103" i="1"/>
  <c r="AM103" i="1"/>
  <c r="P94" i="1"/>
  <c r="AL94" i="1"/>
  <c r="V67" i="1"/>
  <c r="P44" i="1"/>
  <c r="AL44" i="1"/>
  <c r="P47" i="1"/>
  <c r="P41" i="1"/>
  <c r="AL41" i="1"/>
  <c r="V102" i="1"/>
  <c r="AK103" i="1"/>
  <c r="AK67" i="1"/>
  <c r="V37" i="1"/>
  <c r="P33" i="1"/>
  <c r="AL35" i="1"/>
  <c r="Q42" i="1"/>
  <c r="AM42" i="1"/>
  <c r="P50" i="1"/>
  <c r="AL50" i="1"/>
  <c r="Q50" i="1"/>
  <c r="AM50" i="1"/>
  <c r="Q39" i="1"/>
  <c r="P36" i="1"/>
  <c r="AL36" i="1"/>
  <c r="P37" i="1"/>
  <c r="AL37" i="1"/>
  <c r="V85" i="1"/>
  <c r="CG85" i="1"/>
  <c r="CH85" i="1"/>
  <c r="DF85" i="1"/>
  <c r="V87" i="1"/>
  <c r="CI87" i="1"/>
  <c r="V84" i="1"/>
  <c r="CG84" i="1"/>
  <c r="CH84" i="1"/>
  <c r="DF84" i="1"/>
  <c r="V95" i="1"/>
  <c r="CJ95" i="1"/>
  <c r="CG95" i="1"/>
  <c r="CH95" i="1"/>
  <c r="DF95" i="1"/>
  <c r="CI67" i="1"/>
  <c r="CI62" i="1"/>
  <c r="V42" i="1"/>
  <c r="CJ42" i="1"/>
  <c r="CI42" i="1"/>
  <c r="AK101" i="1"/>
  <c r="V26" i="1"/>
  <c r="AK23" i="1"/>
  <c r="V11" i="1"/>
  <c r="CJ11" i="1"/>
  <c r="CG11" i="1"/>
  <c r="CH11" i="1"/>
  <c r="DF11" i="1"/>
  <c r="AK95" i="1"/>
  <c r="CI88" i="1"/>
  <c r="V103" i="1"/>
  <c r="CG103" i="1"/>
  <c r="CH103" i="1"/>
  <c r="DF103" i="1"/>
  <c r="CI84" i="1"/>
  <c r="Q82" i="1"/>
  <c r="Q100" i="1"/>
  <c r="AM100" i="1"/>
  <c r="Q84" i="1"/>
  <c r="AM84" i="1"/>
  <c r="CI74" i="1"/>
  <c r="CI78" i="1"/>
  <c r="V74" i="1"/>
  <c r="V59" i="1"/>
  <c r="CG59" i="1"/>
  <c r="CH59" i="1"/>
  <c r="DF59" i="1"/>
  <c r="CJ59" i="1"/>
  <c r="Q71" i="1"/>
  <c r="AM71" i="1"/>
  <c r="P69" i="1"/>
  <c r="AL69" i="1"/>
  <c r="Q63" i="1"/>
  <c r="AM63" i="1"/>
  <c r="Q68" i="1"/>
  <c r="AM68" i="1"/>
  <c r="P32" i="1"/>
  <c r="Q44" i="1"/>
  <c r="AM44" i="1"/>
  <c r="V52" i="1"/>
  <c r="CI23" i="1"/>
  <c r="V101" i="1"/>
  <c r="CJ101" i="1"/>
  <c r="V51" i="1"/>
  <c r="CG51" i="1"/>
  <c r="CH51" i="1"/>
  <c r="DF51" i="1"/>
  <c r="AK16" i="1"/>
  <c r="Q15" i="1"/>
  <c r="AM15" i="1"/>
  <c r="Q21" i="1"/>
  <c r="AM21" i="1"/>
  <c r="Q11" i="1"/>
  <c r="AM11" i="1"/>
  <c r="Q76" i="1"/>
  <c r="AM76" i="1"/>
  <c r="P22" i="1"/>
  <c r="AL22" i="1"/>
  <c r="Q22" i="1"/>
  <c r="Q51" i="1"/>
  <c r="AM51" i="1"/>
  <c r="P77" i="1"/>
  <c r="AL77" i="1"/>
  <c r="P16" i="1"/>
  <c r="P17" i="1"/>
  <c r="P76" i="1"/>
  <c r="AL76" i="1"/>
  <c r="P24" i="1"/>
  <c r="AL24" i="1"/>
  <c r="P21" i="1"/>
  <c r="AL21" i="1"/>
  <c r="P18" i="1"/>
  <c r="P15" i="1"/>
  <c r="AL15" i="1"/>
  <c r="AK77" i="1"/>
  <c r="V13" i="1"/>
  <c r="CG13" i="1"/>
  <c r="CH13" i="1"/>
  <c r="DF13" i="1"/>
  <c r="CI26" i="1"/>
  <c r="V25" i="1"/>
  <c r="CJ25" i="1"/>
  <c r="V77" i="1"/>
  <c r="CG77" i="1"/>
  <c r="CH77" i="1"/>
  <c r="DF77" i="1"/>
  <c r="V8" i="1"/>
  <c r="CJ8" i="1"/>
  <c r="CG8" i="1"/>
  <c r="CH8" i="1"/>
  <c r="DF8" i="1"/>
  <c r="CI8" i="1"/>
  <c r="AK51" i="1"/>
  <c r="Z94" i="1"/>
  <c r="Z97" i="1"/>
  <c r="Z96" i="1"/>
  <c r="Z83" i="1"/>
  <c r="Z100" i="1"/>
  <c r="Z98" i="1"/>
  <c r="Z89" i="1"/>
  <c r="Z92" i="1"/>
  <c r="Z93" i="1"/>
  <c r="CI93" i="1"/>
  <c r="AK85" i="1"/>
  <c r="CI85" i="1"/>
  <c r="V86" i="1"/>
  <c r="CJ86" i="1"/>
  <c r="V94" i="1"/>
  <c r="CG94" i="1"/>
  <c r="V98" i="1"/>
  <c r="CJ98" i="1"/>
  <c r="AK94" i="1"/>
  <c r="CI63" i="1"/>
  <c r="V73" i="1"/>
  <c r="AK75" i="1"/>
  <c r="Q70" i="1"/>
  <c r="AM70" i="1"/>
  <c r="Q74" i="1"/>
  <c r="AM74" i="1"/>
  <c r="Q59" i="1"/>
  <c r="AM59" i="1"/>
  <c r="Q75" i="1"/>
  <c r="AM75" i="1"/>
  <c r="Q60" i="1"/>
  <c r="AM60" i="1"/>
  <c r="AK36" i="1"/>
  <c r="CI50" i="1"/>
  <c r="Z35" i="1"/>
  <c r="Z46" i="1"/>
  <c r="Z32" i="1"/>
  <c r="Z38" i="1"/>
  <c r="Z39" i="1"/>
  <c r="Z36" i="1"/>
  <c r="Z37" i="1"/>
  <c r="Z42" i="1"/>
  <c r="Z47" i="1"/>
  <c r="Z33" i="1"/>
  <c r="CI77" i="1"/>
  <c r="V28" i="1"/>
  <c r="CJ28" i="1"/>
  <c r="AK76" i="1"/>
  <c r="AJ76" i="1"/>
  <c r="AK13" i="1"/>
  <c r="AK18" i="1"/>
  <c r="Z22" i="1"/>
  <c r="Z27" i="1"/>
  <c r="Z16" i="1"/>
  <c r="CJ13" i="1"/>
  <c r="CG86" i="1"/>
  <c r="CH86" i="1"/>
  <c r="DF86" i="1"/>
  <c r="G96" i="1"/>
  <c r="V35" i="1"/>
  <c r="CG35" i="1"/>
  <c r="CH35" i="1"/>
  <c r="DF35" i="1"/>
  <c r="CJ35" i="1"/>
  <c r="J19" i="1"/>
  <c r="CK24" i="1"/>
  <c r="DA24" i="1"/>
  <c r="P10" i="1"/>
  <c r="AL10" i="1"/>
  <c r="P23" i="1"/>
  <c r="AL23" i="1"/>
  <c r="P25" i="1"/>
  <c r="P8" i="1"/>
  <c r="P19" i="1"/>
  <c r="AL19" i="1"/>
  <c r="P27" i="1"/>
  <c r="CG91" i="1"/>
  <c r="CH91" i="1"/>
  <c r="DF91" i="1"/>
  <c r="V72" i="1"/>
  <c r="CI65" i="1"/>
  <c r="CI11" i="1"/>
  <c r="V75" i="1"/>
  <c r="CJ75" i="1"/>
  <c r="AK91" i="1"/>
  <c r="V96" i="1"/>
  <c r="CG96" i="1"/>
  <c r="CH96" i="1"/>
  <c r="AL47" i="1"/>
  <c r="AK65" i="1"/>
  <c r="Q93" i="1"/>
  <c r="Q95" i="1"/>
  <c r="AM95" i="1"/>
  <c r="AJ95" i="1"/>
  <c r="AN95" i="1"/>
  <c r="DG95" i="1"/>
  <c r="Q88" i="1"/>
  <c r="Q98" i="1"/>
  <c r="AM98" i="1"/>
  <c r="AK33" i="1"/>
  <c r="Z51" i="1"/>
  <c r="Z23" i="1"/>
  <c r="Z8" i="1"/>
  <c r="Z102" i="1"/>
  <c r="Z11" i="1"/>
  <c r="Z26" i="1"/>
  <c r="Z21" i="1"/>
  <c r="Z76" i="1"/>
  <c r="Z13" i="1"/>
  <c r="V63" i="1"/>
  <c r="AK63" i="1"/>
  <c r="AK21" i="1"/>
  <c r="CI15" i="1"/>
  <c r="Z99" i="1"/>
  <c r="Z95" i="1"/>
  <c r="Z82" i="1"/>
  <c r="Z86" i="1"/>
  <c r="Z103" i="1"/>
  <c r="Z88" i="1"/>
  <c r="Z84" i="1"/>
  <c r="Z87" i="1"/>
  <c r="AK71" i="1"/>
  <c r="V71" i="1"/>
  <c r="CG71" i="1"/>
  <c r="CH71" i="1"/>
  <c r="AK78" i="1"/>
  <c r="Q99" i="1"/>
  <c r="AM99" i="1"/>
  <c r="CJ102" i="1"/>
  <c r="CG102" i="1"/>
  <c r="CH102" i="1"/>
  <c r="Q94" i="1"/>
  <c r="AM94" i="1"/>
  <c r="AK83" i="1"/>
  <c r="Q92" i="1"/>
  <c r="Q97" i="1"/>
  <c r="AM97" i="1"/>
  <c r="Q86" i="1"/>
  <c r="AM86" i="1"/>
  <c r="Q96" i="1"/>
  <c r="AM96" i="1"/>
  <c r="AK37" i="1"/>
  <c r="AK100" i="1"/>
  <c r="CJ103" i="1"/>
  <c r="Q87" i="1"/>
  <c r="AM87" i="1"/>
  <c r="AK62" i="1"/>
  <c r="Q89" i="1"/>
  <c r="AM89" i="1"/>
  <c r="CI24" i="1"/>
  <c r="CI68" i="1"/>
  <c r="AK68" i="1"/>
  <c r="V68" i="1"/>
  <c r="CG68" i="1"/>
  <c r="CH68" i="1"/>
  <c r="DF68" i="1"/>
  <c r="Z75" i="1"/>
  <c r="V69" i="1"/>
  <c r="Q83" i="1"/>
  <c r="V66" i="1"/>
  <c r="CG66" i="1"/>
  <c r="CH66" i="1"/>
  <c r="CJ66" i="1"/>
  <c r="CU66" i="1"/>
  <c r="AK10" i="1"/>
  <c r="CG101" i="1"/>
  <c r="CH101" i="1"/>
  <c r="DF101" i="1"/>
  <c r="Q91" i="1"/>
  <c r="AM91" i="1"/>
  <c r="Q85" i="1"/>
  <c r="AM85" i="1"/>
  <c r="J93" i="1"/>
  <c r="P91" i="1"/>
  <c r="P96" i="1"/>
  <c r="AL96" i="1"/>
  <c r="AM61" i="1"/>
  <c r="CI61" i="1"/>
  <c r="CJ89" i="1"/>
  <c r="CK58" i="1"/>
  <c r="CK33" i="1"/>
  <c r="CM33" i="1"/>
  <c r="CT66" i="1"/>
  <c r="DF71" i="1"/>
  <c r="CJ68" i="1"/>
  <c r="CG63" i="1"/>
  <c r="CH63" i="1"/>
  <c r="DF63" i="1"/>
  <c r="CJ63" i="1"/>
  <c r="DF66" i="1"/>
  <c r="C24" i="2"/>
  <c r="C25" i="2"/>
  <c r="C33" i="2"/>
  <c r="Z62" i="1"/>
  <c r="Z60" i="1"/>
  <c r="Z70" i="1"/>
  <c r="Z69" i="1"/>
  <c r="Z68" i="1"/>
  <c r="Z61" i="1"/>
  <c r="Z74" i="1"/>
  <c r="Z58" i="1"/>
  <c r="Z78" i="1"/>
  <c r="Z67" i="1"/>
  <c r="Z59" i="1"/>
  <c r="Z65" i="1"/>
  <c r="Z71" i="1"/>
  <c r="Z57" i="1"/>
  <c r="Z73" i="1"/>
  <c r="Z72" i="1"/>
  <c r="Z63" i="1"/>
  <c r="Z66" i="1"/>
  <c r="CK60" i="1"/>
  <c r="CK61" i="1"/>
  <c r="CK14" i="1"/>
  <c r="CK48" i="1"/>
  <c r="CM48" i="1"/>
  <c r="V32" i="1"/>
  <c r="CG32" i="1"/>
  <c r="CH32" i="1"/>
  <c r="DF32" i="1"/>
  <c r="V50" i="1"/>
  <c r="CJ50" i="1"/>
  <c r="AK50" i="1"/>
  <c r="D48" i="5"/>
  <c r="D45" i="5"/>
  <c r="D43" i="5"/>
  <c r="AJ61" i="1"/>
  <c r="AN61" i="1"/>
  <c r="DG61" i="1"/>
  <c r="G72" i="1"/>
  <c r="CJ62" i="1"/>
  <c r="CG62" i="1"/>
  <c r="CH62" i="1"/>
  <c r="DF62" i="1"/>
  <c r="CG73" i="1"/>
  <c r="CH73" i="1"/>
  <c r="DF73" i="1"/>
  <c r="CJ73" i="1"/>
  <c r="P67" i="1"/>
  <c r="P72" i="1"/>
  <c r="AL72" i="1"/>
  <c r="AJ72" i="1"/>
  <c r="P78" i="1"/>
  <c r="AL78" i="1"/>
  <c r="P66" i="1"/>
  <c r="P75" i="1"/>
  <c r="P71" i="1"/>
  <c r="P63" i="1"/>
  <c r="AL63" i="1"/>
  <c r="P68" i="1"/>
  <c r="AL68" i="1"/>
  <c r="P73" i="1"/>
  <c r="AL73" i="1"/>
  <c r="P70" i="1"/>
  <c r="AL70" i="1"/>
  <c r="AJ70" i="1"/>
  <c r="P62" i="1"/>
  <c r="AL62" i="1"/>
  <c r="P59" i="1"/>
  <c r="AL59" i="1"/>
  <c r="AJ59" i="1"/>
  <c r="AN59" i="1"/>
  <c r="J68" i="1"/>
  <c r="P60" i="1"/>
  <c r="AL60" i="1"/>
  <c r="AJ60" i="1"/>
  <c r="AK70" i="1"/>
  <c r="V70" i="1"/>
  <c r="CJ70" i="1"/>
  <c r="CI70" i="1"/>
  <c r="CJ82" i="1"/>
  <c r="CG82" i="1"/>
  <c r="CH82" i="1"/>
  <c r="DF82" i="1"/>
  <c r="CI19" i="1"/>
  <c r="V19" i="1"/>
  <c r="AK19" i="1"/>
  <c r="V46" i="1"/>
  <c r="CJ46" i="1"/>
  <c r="CM46" i="1"/>
  <c r="AL82" i="1"/>
  <c r="CJ78" i="1"/>
  <c r="CG78" i="1"/>
  <c r="CH78" i="1"/>
  <c r="DF78" i="1"/>
  <c r="CI27" i="1"/>
  <c r="AK15" i="1"/>
  <c r="V15" i="1"/>
  <c r="CI39" i="1"/>
  <c r="CJ65" i="1"/>
  <c r="AK97" i="1"/>
  <c r="AJ97" i="1"/>
  <c r="V97" i="1"/>
  <c r="CG97" i="1"/>
  <c r="CH97" i="1"/>
  <c r="DF97" i="1"/>
  <c r="CJ97" i="1"/>
  <c r="CL66" i="1"/>
  <c r="V58" i="1"/>
  <c r="CG58" i="1"/>
  <c r="CH58" i="1"/>
  <c r="DF58" i="1"/>
  <c r="AK58" i="1"/>
  <c r="CI58" i="1"/>
  <c r="AK22" i="1"/>
  <c r="V22" i="1"/>
  <c r="CJ77" i="1"/>
  <c r="V14" i="1"/>
  <c r="CG14" i="1"/>
  <c r="AK14" i="1"/>
  <c r="CI14" i="1"/>
  <c r="V12" i="1"/>
  <c r="CJ12" i="1"/>
  <c r="AK12" i="1"/>
  <c r="CI20" i="1"/>
  <c r="P98" i="1"/>
  <c r="AL98" i="1"/>
  <c r="P103" i="1"/>
  <c r="AL103" i="1"/>
  <c r="AJ103" i="1"/>
  <c r="DF102" i="1"/>
  <c r="CI35" i="1"/>
  <c r="Q32" i="1"/>
  <c r="Z12" i="1"/>
  <c r="P95" i="1"/>
  <c r="AL95" i="1"/>
  <c r="Z9" i="1"/>
  <c r="AK82" i="1"/>
  <c r="Q38" i="1"/>
  <c r="AM38" i="1"/>
  <c r="AK89" i="1"/>
  <c r="Z24" i="1"/>
  <c r="D19" i="5"/>
  <c r="I43" i="5"/>
  <c r="Q47" i="1"/>
  <c r="AM47" i="1"/>
  <c r="P89" i="1"/>
  <c r="AL89" i="1"/>
  <c r="Z77" i="1"/>
  <c r="AN77" i="1"/>
  <c r="DG77" i="1"/>
  <c r="D14" i="5"/>
  <c r="Z25" i="1"/>
  <c r="Z41" i="1"/>
  <c r="Q37" i="1"/>
  <c r="AM37" i="1"/>
  <c r="Z43" i="1"/>
  <c r="CI41" i="1"/>
  <c r="CW41" i="1"/>
  <c r="AK66" i="1"/>
  <c r="CI82" i="1"/>
  <c r="V61" i="1"/>
  <c r="Q35" i="1"/>
  <c r="AM35" i="1"/>
  <c r="Q46" i="1"/>
  <c r="AM46" i="1"/>
  <c r="Z10" i="1"/>
  <c r="Z18" i="1"/>
  <c r="CJ51" i="1"/>
  <c r="P99" i="1"/>
  <c r="AL99" i="1"/>
  <c r="Z101" i="1"/>
  <c r="Q33" i="1"/>
  <c r="Q49" i="1"/>
  <c r="AM49" i="1"/>
  <c r="CI18" i="1"/>
  <c r="AK99" i="1"/>
  <c r="P93" i="1"/>
  <c r="AL93" i="1"/>
  <c r="CI83" i="1"/>
  <c r="P86" i="1"/>
  <c r="AL86" i="1"/>
  <c r="AJ86" i="1"/>
  <c r="V57" i="1"/>
  <c r="Q45" i="1"/>
  <c r="P84" i="1"/>
  <c r="AL84" i="1"/>
  <c r="AJ84" i="1"/>
  <c r="AP84" i="1"/>
  <c r="Q48" i="1"/>
  <c r="AM48" i="1"/>
  <c r="P83" i="1"/>
  <c r="CI25" i="1"/>
  <c r="Q34" i="1"/>
  <c r="AM34" i="1"/>
  <c r="P97" i="1"/>
  <c r="AL97" i="1"/>
  <c r="I45" i="5"/>
  <c r="Q43" i="1"/>
  <c r="AM43" i="1"/>
  <c r="Z52" i="1"/>
  <c r="V18" i="1"/>
  <c r="CG18" i="1"/>
  <c r="P87" i="1"/>
  <c r="Z15" i="1"/>
  <c r="Z17" i="1"/>
  <c r="Q41" i="1"/>
  <c r="P92" i="1"/>
  <c r="Z20" i="1"/>
  <c r="Q36" i="1"/>
  <c r="AM36" i="1"/>
  <c r="AJ36" i="1"/>
  <c r="AP36" i="1"/>
  <c r="CG50" i="1"/>
  <c r="CH50" i="1"/>
  <c r="DF50" i="1"/>
  <c r="AM32" i="1"/>
  <c r="CJ32" i="1"/>
  <c r="CH18" i="1"/>
  <c r="DF18" i="1"/>
  <c r="AL83" i="1"/>
  <c r="CG15" i="1"/>
  <c r="CH15" i="1"/>
  <c r="DF15" i="1"/>
  <c r="CJ15" i="1"/>
  <c r="CH14" i="1"/>
  <c r="DF14" i="1"/>
  <c r="CJ14" i="1"/>
  <c r="AL71" i="1"/>
  <c r="CP14" i="1"/>
  <c r="CG36" i="1"/>
  <c r="CH36" i="1"/>
  <c r="DF36" i="1"/>
  <c r="G46" i="1"/>
  <c r="CJ36" i="1"/>
  <c r="AK45" i="1"/>
  <c r="AM39" i="1"/>
  <c r="AJ39" i="1"/>
  <c r="V43" i="1"/>
  <c r="CG47" i="1"/>
  <c r="CH47" i="1"/>
  <c r="DF47" i="1"/>
  <c r="CJ47" i="1"/>
  <c r="CI34" i="1"/>
  <c r="AK48" i="1"/>
  <c r="AK34" i="1"/>
  <c r="AK39" i="1"/>
  <c r="V45" i="1"/>
  <c r="CG45" i="1"/>
  <c r="CH45" i="1"/>
  <c r="CJ45" i="1"/>
  <c r="CI53" i="1"/>
  <c r="V48" i="1"/>
  <c r="CJ48" i="1"/>
  <c r="AK53" i="1"/>
  <c r="CG34" i="1"/>
  <c r="CH34" i="1"/>
  <c r="DF34" i="1"/>
  <c r="CJ34" i="1"/>
  <c r="AK49" i="1"/>
  <c r="V49" i="1"/>
  <c r="V38" i="1"/>
  <c r="AK38" i="1"/>
  <c r="CG41" i="1"/>
  <c r="CH41" i="1"/>
  <c r="DF41" i="1"/>
  <c r="V44" i="1"/>
  <c r="AK44" i="1"/>
  <c r="AJ44" i="1"/>
  <c r="V33" i="1"/>
  <c r="V53" i="1"/>
  <c r="I14" i="5"/>
  <c r="I19" i="5"/>
  <c r="DF45" i="1"/>
  <c r="CO41" i="1"/>
  <c r="CM41" i="1"/>
  <c r="CX41" i="1"/>
  <c r="CP41" i="1"/>
  <c r="CQ41" i="1"/>
  <c r="CU41" i="1"/>
  <c r="CG53" i="1"/>
  <c r="CH53" i="1"/>
  <c r="DF53" i="1"/>
  <c r="CJ53" i="1"/>
  <c r="CG33" i="1"/>
  <c r="CH33" i="1"/>
  <c r="DF33" i="1"/>
  <c r="CJ33" i="1"/>
  <c r="CU33" i="1"/>
  <c r="CG38" i="1"/>
  <c r="CH38" i="1"/>
  <c r="DF38" i="1"/>
  <c r="CJ38" i="1"/>
  <c r="CJ49" i="1"/>
  <c r="CG49" i="1"/>
  <c r="CH49" i="1"/>
  <c r="DF49" i="1"/>
  <c r="AJ89" i="1"/>
  <c r="AP89" i="1"/>
  <c r="CH94" i="1"/>
  <c r="DF94" i="1"/>
  <c r="CJ92" i="1"/>
  <c r="CV92" i="1"/>
  <c r="DF96" i="1"/>
  <c r="AJ94" i="1"/>
  <c r="AN94" i="1"/>
  <c r="DG94" i="1"/>
  <c r="G36" i="5"/>
  <c r="CG98" i="1"/>
  <c r="CH98" i="1"/>
  <c r="DF98" i="1"/>
  <c r="AL87" i="1"/>
  <c r="AJ87" i="1"/>
  <c r="AP87" i="1"/>
  <c r="AJ99" i="1"/>
  <c r="AJ96" i="1"/>
  <c r="AP96" i="1"/>
  <c r="AN96" i="1"/>
  <c r="AQ96" i="1"/>
  <c r="CO91" i="1"/>
  <c r="CL91" i="1"/>
  <c r="CV91" i="1"/>
  <c r="CP91" i="1"/>
  <c r="CZ91" i="1"/>
  <c r="CX91" i="1"/>
  <c r="CS91" i="1"/>
  <c r="DA91" i="1"/>
  <c r="CN91" i="1"/>
  <c r="CU91" i="1"/>
  <c r="CY91" i="1"/>
  <c r="CM92" i="1"/>
  <c r="AL91" i="1"/>
  <c r="AJ91" i="1"/>
  <c r="AN91" i="1"/>
  <c r="AN97" i="1"/>
  <c r="AQ94" i="1"/>
  <c r="CG70" i="1"/>
  <c r="CH70" i="1"/>
  <c r="DF70" i="1"/>
  <c r="AJ71" i="1"/>
  <c r="AN71" i="1"/>
  <c r="DG71" i="1"/>
  <c r="AL75" i="1"/>
  <c r="AJ75" i="1"/>
  <c r="AN75" i="1"/>
  <c r="AP72" i="1"/>
  <c r="CX42" i="1"/>
  <c r="CM42" i="1"/>
  <c r="CQ42" i="1"/>
  <c r="CU42" i="1"/>
  <c r="CY42" i="1"/>
  <c r="CP42" i="1"/>
  <c r="CG48" i="1"/>
  <c r="CH48" i="1"/>
  <c r="DF48" i="1"/>
  <c r="AJ37" i="1"/>
  <c r="AP37" i="1"/>
  <c r="AN37" i="1"/>
  <c r="AQ37" i="1"/>
  <c r="DA42" i="1"/>
  <c r="AJ35" i="1"/>
  <c r="AN35" i="1"/>
  <c r="CS42" i="1"/>
  <c r="CG46" i="1"/>
  <c r="CH46" i="1"/>
  <c r="DF46" i="1"/>
  <c r="CG42" i="1"/>
  <c r="CH42" i="1"/>
  <c r="DF42" i="1"/>
  <c r="AJ53" i="1"/>
  <c r="CV48" i="1"/>
  <c r="CR42" i="1"/>
  <c r="CN42" i="1"/>
  <c r="CL42" i="1"/>
  <c r="CO42" i="1"/>
  <c r="DE42" i="1"/>
  <c r="CT42" i="1"/>
  <c r="CZ42" i="1"/>
  <c r="CV42" i="1"/>
  <c r="CW42" i="1"/>
  <c r="AM45" i="1"/>
  <c r="CR46" i="1"/>
  <c r="CS46" i="1"/>
  <c r="CQ46" i="1"/>
  <c r="CZ46" i="1"/>
  <c r="CO46" i="1"/>
  <c r="CU48" i="1"/>
  <c r="CX33" i="1"/>
  <c r="CQ33" i="1"/>
  <c r="B7" i="5"/>
  <c r="CO33" i="1"/>
  <c r="CG24" i="1"/>
  <c r="CH24" i="1"/>
  <c r="DF24" i="1"/>
  <c r="CN48" i="1"/>
  <c r="CT33" i="1"/>
  <c r="CO48" i="1"/>
  <c r="CY48" i="1"/>
  <c r="CZ33" i="1"/>
  <c r="CY33" i="1"/>
  <c r="DC33" i="1"/>
  <c r="AL102" i="1"/>
  <c r="AL17" i="1"/>
  <c r="AL27" i="1"/>
  <c r="CJ19" i="1"/>
  <c r="CG19" i="1"/>
  <c r="CH19" i="1"/>
  <c r="DF19" i="1"/>
  <c r="CP48" i="1"/>
  <c r="CL48" i="1"/>
  <c r="CT48" i="1"/>
  <c r="CQ48" i="1"/>
  <c r="AJ77" i="1"/>
  <c r="AJ23" i="1"/>
  <c r="AN23" i="1"/>
  <c r="DG23" i="1"/>
  <c r="AL18" i="1"/>
  <c r="AJ18" i="1"/>
  <c r="AN18" i="1"/>
  <c r="AQ18" i="1"/>
  <c r="CP33" i="1"/>
  <c r="CL33" i="1"/>
  <c r="CR33" i="1"/>
  <c r="CX48" i="1"/>
  <c r="DB48" i="1"/>
  <c r="AR48" i="1"/>
  <c r="CW48" i="1"/>
  <c r="CM14" i="1"/>
  <c r="CY14" i="1"/>
  <c r="AL25" i="1"/>
  <c r="CK36" i="1"/>
  <c r="CK34" i="1"/>
  <c r="CK57" i="1"/>
  <c r="CK72" i="1"/>
  <c r="CK62" i="1"/>
  <c r="CK97" i="1"/>
  <c r="CK73" i="1"/>
  <c r="CK100" i="1"/>
  <c r="CK86" i="1"/>
  <c r="CT86" i="1"/>
  <c r="DB86" i="1"/>
  <c r="CK37" i="1"/>
  <c r="CK11" i="1"/>
  <c r="CK75" i="1"/>
  <c r="CK12" i="1"/>
  <c r="CK63" i="1"/>
  <c r="CX63" i="1"/>
  <c r="CK59" i="1"/>
  <c r="CM59" i="1"/>
  <c r="DC59" i="1"/>
  <c r="CK82" i="1"/>
  <c r="CK27" i="1"/>
  <c r="CK84" i="1"/>
  <c r="CK39" i="1"/>
  <c r="CV39" i="1"/>
  <c r="CK49" i="1"/>
  <c r="CK15" i="1"/>
  <c r="CK85" i="1"/>
  <c r="CK95" i="1"/>
  <c r="CR95" i="1"/>
  <c r="DD95" i="1"/>
  <c r="CK51" i="1"/>
  <c r="CK98" i="1"/>
  <c r="CK68" i="1"/>
  <c r="CK52" i="1"/>
  <c r="CK28" i="1"/>
  <c r="CK93" i="1"/>
  <c r="CK70" i="1"/>
  <c r="CV14" i="1"/>
  <c r="AN76" i="1"/>
  <c r="AQ76" i="1"/>
  <c r="DG96" i="1"/>
  <c r="DA92" i="1"/>
  <c r="AP97" i="1"/>
  <c r="DG97" i="1"/>
  <c r="AQ97" i="1"/>
  <c r="AP75" i="1"/>
  <c r="AQ75" i="1"/>
  <c r="DG75" i="1"/>
  <c r="AN36" i="1"/>
  <c r="DG36" i="1"/>
  <c r="G47" i="1"/>
  <c r="AQ23" i="1"/>
  <c r="DG76" i="1"/>
  <c r="DA36" i="1"/>
  <c r="CM36" i="1"/>
  <c r="CO36" i="1"/>
  <c r="CX36" i="1"/>
  <c r="CN36" i="1"/>
  <c r="CU36" i="1"/>
  <c r="CW36" i="1"/>
  <c r="CV36" i="1"/>
  <c r="CT36" i="1"/>
  <c r="CS36" i="1"/>
  <c r="CL36" i="1"/>
  <c r="CR36" i="1"/>
  <c r="CW51" i="1"/>
  <c r="CL51" i="1"/>
  <c r="CN51" i="1"/>
  <c r="CO51" i="1"/>
  <c r="CP51" i="1"/>
  <c r="CQ51" i="1"/>
  <c r="CX51" i="1"/>
  <c r="CV51" i="1"/>
  <c r="CR51" i="1"/>
  <c r="CS51" i="1"/>
  <c r="CU51" i="1"/>
  <c r="CP82" i="1"/>
  <c r="CU82" i="1"/>
  <c r="CT82" i="1"/>
  <c r="CN82" i="1"/>
  <c r="CY82" i="1"/>
  <c r="CV82" i="1"/>
  <c r="CL82" i="1"/>
  <c r="DB82" i="1"/>
  <c r="AR82" i="1"/>
  <c r="CX82" i="1"/>
  <c r="CR82" i="1"/>
  <c r="CM82" i="1"/>
  <c r="DC82" i="1"/>
  <c r="CZ82" i="1"/>
  <c r="CW82" i="1"/>
  <c r="CQ82" i="1"/>
  <c r="CO82" i="1"/>
  <c r="CS82" i="1"/>
  <c r="DA82" i="1"/>
  <c r="DA95" i="1"/>
  <c r="CY95" i="1"/>
  <c r="CS95" i="1"/>
  <c r="CU95" i="1"/>
  <c r="CP95" i="1"/>
  <c r="CT95" i="1"/>
  <c r="CM95" i="1"/>
  <c r="CZ95" i="1"/>
  <c r="CO95" i="1"/>
  <c r="CN95" i="1"/>
  <c r="CQ95" i="1"/>
  <c r="CW95" i="1"/>
  <c r="CL95" i="1"/>
  <c r="CV95" i="1"/>
  <c r="CX95" i="1"/>
  <c r="CY59" i="1"/>
  <c r="CU59" i="1"/>
  <c r="CP59" i="1"/>
  <c r="CT59" i="1"/>
  <c r="CQ59" i="1"/>
  <c r="CX59" i="1"/>
  <c r="CL59" i="1"/>
  <c r="CM73" i="1"/>
  <c r="CR73" i="1"/>
  <c r="CW73" i="1"/>
  <c r="CQ73" i="1"/>
  <c r="CZ73" i="1"/>
  <c r="CO73" i="1"/>
  <c r="DE73" i="1"/>
  <c r="CT73" i="1"/>
  <c r="CN73" i="1"/>
  <c r="CP73" i="1"/>
  <c r="CU73" i="1"/>
  <c r="CS73" i="1"/>
  <c r="CY73" i="1"/>
  <c r="CX73" i="1"/>
  <c r="DA73" i="1"/>
  <c r="DC48" i="1"/>
  <c r="CO70" i="1"/>
  <c r="CZ70" i="1"/>
  <c r="CU70" i="1"/>
  <c r="DA70" i="1"/>
  <c r="CQ70" i="1"/>
  <c r="CM70" i="1"/>
  <c r="CT70" i="1"/>
  <c r="DB70" i="1"/>
  <c r="AR70" i="1"/>
  <c r="CV70" i="1"/>
  <c r="CR70" i="1"/>
  <c r="CP70" i="1"/>
  <c r="CS70" i="1"/>
  <c r="CL70" i="1"/>
  <c r="CX70" i="1"/>
  <c r="CZ63" i="1"/>
  <c r="DA63" i="1"/>
  <c r="CU63" i="1"/>
  <c r="CN63" i="1"/>
  <c r="CT63" i="1"/>
  <c r="CO63" i="1"/>
  <c r="CM63" i="1"/>
  <c r="CW63" i="1"/>
  <c r="CP63" i="1"/>
  <c r="CQ63" i="1"/>
  <c r="CR63" i="1"/>
  <c r="CL63" i="1"/>
  <c r="DB63" i="1"/>
  <c r="AR63" i="1"/>
  <c r="CS63" i="1"/>
  <c r="CY63" i="1"/>
  <c r="CV63" i="1"/>
  <c r="DD63" i="1"/>
  <c r="DA97" i="1"/>
  <c r="CN97" i="1"/>
  <c r="CP97" i="1"/>
  <c r="DB97" i="1"/>
  <c r="AR97" i="1"/>
  <c r="CY97" i="1"/>
  <c r="CT97" i="1"/>
  <c r="CM97" i="1"/>
  <c r="CU97" i="1"/>
  <c r="CL97" i="1"/>
  <c r="CW97" i="1"/>
  <c r="CV97" i="1"/>
  <c r="CX97" i="1"/>
  <c r="CR97" i="1"/>
  <c r="CR15" i="1"/>
  <c r="CZ15" i="1"/>
  <c r="DD15" i="1"/>
  <c r="CV15" i="1"/>
  <c r="CS15" i="1"/>
  <c r="DE15" i="1"/>
  <c r="CL15" i="1"/>
  <c r="CQ15" i="1"/>
  <c r="DC15" i="1"/>
  <c r="CN15" i="1"/>
  <c r="CP15" i="1"/>
  <c r="CU15" i="1"/>
  <c r="CO15" i="1"/>
  <c r="CM15" i="1"/>
  <c r="DA15" i="1"/>
  <c r="CY15" i="1"/>
  <c r="CW15" i="1"/>
  <c r="CT12" i="1"/>
  <c r="CR12" i="1"/>
  <c r="CW12" i="1"/>
  <c r="DA12" i="1"/>
  <c r="CL12" i="1"/>
  <c r="DB12" i="1"/>
  <c r="AR12" i="1"/>
  <c r="CN12" i="1"/>
  <c r="DD12" i="1"/>
  <c r="CV12" i="1"/>
  <c r="CO12" i="1"/>
  <c r="CM12" i="1"/>
  <c r="CZ12" i="1"/>
  <c r="CY12" i="1"/>
  <c r="CX12" i="1"/>
  <c r="CP12" i="1"/>
  <c r="CQ12" i="1"/>
  <c r="CT62" i="1"/>
  <c r="CL62" i="1"/>
  <c r="CO62" i="1"/>
  <c r="CN62" i="1"/>
  <c r="CP62" i="1"/>
  <c r="CR62" i="1"/>
  <c r="CU62" i="1"/>
  <c r="CX62" i="1"/>
  <c r="DB62" i="1"/>
  <c r="AR62" i="1"/>
  <c r="CS62" i="1"/>
  <c r="DA62" i="1"/>
  <c r="CM62" i="1"/>
  <c r="CQ62" i="1"/>
  <c r="CY62" i="1"/>
  <c r="CV62" i="1"/>
  <c r="CX28" i="1"/>
  <c r="CP28" i="1"/>
  <c r="CQ28" i="1"/>
  <c r="CM28" i="1"/>
  <c r="CU28" i="1"/>
  <c r="CT28" i="1"/>
  <c r="CY28" i="1"/>
  <c r="CL28" i="1"/>
  <c r="DB28" i="1"/>
  <c r="AR28" i="1"/>
  <c r="CV49" i="1"/>
  <c r="CY49" i="1"/>
  <c r="CW49" i="1"/>
  <c r="CT49" i="1"/>
  <c r="CN49" i="1"/>
  <c r="CU49" i="1"/>
  <c r="CL49" i="1"/>
  <c r="DB49" i="1"/>
  <c r="AR49" i="1"/>
  <c r="CX49" i="1"/>
  <c r="CO49" i="1"/>
  <c r="CR49" i="1"/>
  <c r="DD49" i="1"/>
  <c r="CS49" i="1"/>
  <c r="DE49" i="1"/>
  <c r="CZ49" i="1"/>
  <c r="CP49" i="1"/>
  <c r="DA49" i="1"/>
  <c r="CQ49" i="1"/>
  <c r="CM49" i="1"/>
  <c r="DC49" i="1"/>
  <c r="CY75" i="1"/>
  <c r="CU75" i="1"/>
  <c r="CP75" i="1"/>
  <c r="CW75" i="1"/>
  <c r="CN75" i="1"/>
  <c r="CR75" i="1"/>
  <c r="CS75" i="1"/>
  <c r="CX75" i="1"/>
  <c r="CZ75" i="1"/>
  <c r="CT75" i="1"/>
  <c r="CM75" i="1"/>
  <c r="CQ75" i="1"/>
  <c r="DA75" i="1"/>
  <c r="CV75" i="1"/>
  <c r="DD75" i="1"/>
  <c r="CO75" i="1"/>
  <c r="CL75" i="1"/>
  <c r="DB75" i="1"/>
  <c r="AR75" i="1"/>
  <c r="AP77" i="1"/>
  <c r="CY39" i="1"/>
  <c r="DA39" i="1"/>
  <c r="CO39" i="1"/>
  <c r="DE39" i="1"/>
  <c r="CP39" i="1"/>
  <c r="CW39" i="1"/>
  <c r="CT39" i="1"/>
  <c r="CX39" i="1"/>
  <c r="CS39" i="1"/>
  <c r="CL39" i="1"/>
  <c r="DB39" i="1"/>
  <c r="AR39" i="1"/>
  <c r="CQ11" i="1"/>
  <c r="CR11" i="1"/>
  <c r="CS11" i="1"/>
  <c r="CU11" i="1"/>
  <c r="DA11" i="1"/>
  <c r="CP11" i="1"/>
  <c r="CT11" i="1"/>
  <c r="CL11" i="1"/>
  <c r="CY11" i="1"/>
  <c r="CX11" i="1"/>
  <c r="CW11" i="1"/>
  <c r="CM11" i="1"/>
  <c r="DC11" i="1"/>
  <c r="CO11" i="1"/>
  <c r="DE11" i="1"/>
  <c r="CZ11" i="1"/>
  <c r="CN11" i="1"/>
  <c r="DD11" i="1"/>
  <c r="CV11" i="1"/>
  <c r="CT98" i="1"/>
  <c r="CM98" i="1"/>
  <c r="CZ98" i="1"/>
  <c r="CY98" i="1"/>
  <c r="DC98" i="1"/>
  <c r="CO98" i="1"/>
  <c r="CL98" i="1"/>
  <c r="DB98" i="1"/>
  <c r="AR98" i="1"/>
  <c r="CV98" i="1"/>
  <c r="CW98" i="1"/>
  <c r="CU98" i="1"/>
  <c r="CP98" i="1"/>
  <c r="CN98" i="1"/>
  <c r="DD98" i="1"/>
  <c r="DA98" i="1"/>
  <c r="DE98" i="1"/>
  <c r="CQ98" i="1"/>
  <c r="CS98" i="1"/>
  <c r="CR98" i="1"/>
  <c r="CX98" i="1"/>
  <c r="CM86" i="1"/>
  <c r="DC86" i="1"/>
  <c r="G94" i="1"/>
  <c r="F61" i="2"/>
  <c r="CY86" i="1"/>
  <c r="CR86" i="1"/>
  <c r="CZ86" i="1"/>
  <c r="CW86" i="1"/>
  <c r="CP86" i="1"/>
  <c r="DA86" i="1"/>
  <c r="CQ86" i="1"/>
  <c r="CO86" i="1"/>
  <c r="DE86" i="1"/>
  <c r="G92" i="1"/>
  <c r="F59" i="2"/>
  <c r="F67" i="2"/>
  <c r="CN86" i="1"/>
  <c r="CV86" i="1"/>
  <c r="DD86" i="1"/>
  <c r="G93" i="1"/>
  <c r="F60" i="2"/>
  <c r="CU86" i="1"/>
  <c r="CX86" i="1"/>
  <c r="CL86" i="1"/>
  <c r="CS86" i="1"/>
  <c r="AP18" i="1"/>
  <c r="CS68" i="1"/>
  <c r="CZ68" i="1"/>
  <c r="CV68" i="1"/>
  <c r="CY68" i="1"/>
  <c r="CT68" i="1"/>
  <c r="CM68" i="1"/>
  <c r="DC68" i="1"/>
  <c r="CP68" i="1"/>
  <c r="CR68" i="1"/>
  <c r="DD68" i="1"/>
  <c r="CO68" i="1"/>
  <c r="DA68" i="1"/>
  <c r="CX68" i="1"/>
  <c r="CN68" i="1"/>
  <c r="CL68" i="1"/>
  <c r="CW68" i="1"/>
  <c r="DE68" i="1"/>
  <c r="CU68" i="1"/>
  <c r="CQ68" i="1"/>
  <c r="CZ34" i="1"/>
  <c r="CN34" i="1"/>
  <c r="DD34" i="1"/>
  <c r="CL34" i="1"/>
  <c r="CR34" i="1"/>
  <c r="CV34" i="1"/>
  <c r="DA34" i="1"/>
  <c r="CY34" i="1"/>
  <c r="CQ34" i="1"/>
  <c r="CX34" i="1"/>
  <c r="CM34" i="1"/>
  <c r="DC34" i="1"/>
  <c r="CU34" i="1"/>
  <c r="CW34" i="1"/>
  <c r="CP34" i="1"/>
  <c r="DB34" i="1"/>
  <c r="AR34" i="1"/>
  <c r="CT34" i="1"/>
  <c r="CS34" i="1"/>
  <c r="CO34" i="1"/>
  <c r="DE34" i="1"/>
  <c r="AQ91" i="1"/>
  <c r="DG91" i="1"/>
  <c r="DB68" i="1"/>
  <c r="AR68" i="1"/>
  <c r="DE75" i="1"/>
  <c r="DD82" i="1"/>
  <c r="DB11" i="1"/>
  <c r="AR11" i="1"/>
  <c r="DC63" i="1"/>
  <c r="DE63" i="1"/>
  <c r="DC62" i="1"/>
  <c r="DE82" i="1"/>
  <c r="DE95" i="1"/>
  <c r="DE36" i="1"/>
  <c r="G42" i="1"/>
  <c r="F23" i="2"/>
  <c r="F31" i="2"/>
  <c r="DC73" i="1"/>
  <c r="DB59" i="1"/>
  <c r="AR59" i="1"/>
  <c r="DC95" i="1"/>
  <c r="DC75" i="1"/>
  <c r="DC28" i="1"/>
  <c r="DB95" i="1"/>
  <c r="AR95" i="1"/>
  <c r="DG35" i="1"/>
  <c r="AQ35" i="1"/>
  <c r="G98" i="1"/>
  <c r="F69" i="2"/>
  <c r="AR86" i="1"/>
  <c r="G89" i="1"/>
  <c r="J53" i="5"/>
  <c r="DB51" i="1"/>
  <c r="AR51" i="1"/>
  <c r="DD97" i="1"/>
  <c r="DD73" i="1"/>
  <c r="AQ59" i="1"/>
  <c r="DG59" i="1"/>
  <c r="AP39" i="1"/>
  <c r="AN39" i="1"/>
  <c r="AN66" i="1"/>
  <c r="AP95" i="1"/>
  <c r="CU92" i="1"/>
  <c r="CS97" i="1"/>
  <c r="CQ97" i="1"/>
  <c r="DC97" i="1"/>
  <c r="AP71" i="1"/>
  <c r="AM41" i="1"/>
  <c r="DA33" i="1"/>
  <c r="CS33" i="1"/>
  <c r="DE33" i="1"/>
  <c r="CV33" i="1"/>
  <c r="CW33" i="1"/>
  <c r="CN33" i="1"/>
  <c r="DD33" i="1"/>
  <c r="AJ88" i="1"/>
  <c r="AP88" i="1"/>
  <c r="AJ100" i="1"/>
  <c r="AN100" i="1"/>
  <c r="AP67" i="1"/>
  <c r="CW101" i="1"/>
  <c r="CY92" i="1"/>
  <c r="CM51" i="1"/>
  <c r="CY51" i="1"/>
  <c r="CT51" i="1"/>
  <c r="CJ43" i="1"/>
  <c r="CG43" i="1"/>
  <c r="CH43" i="1"/>
  <c r="DF43" i="1"/>
  <c r="CW62" i="1"/>
  <c r="DE62" i="1"/>
  <c r="CZ62" i="1"/>
  <c r="DD62" i="1"/>
  <c r="CJ23" i="1"/>
  <c r="CG23" i="1"/>
  <c r="CH23" i="1"/>
  <c r="DF23" i="1"/>
  <c r="AQ95" i="1"/>
  <c r="CT24" i="1"/>
  <c r="AP59" i="1"/>
  <c r="CW35" i="1"/>
  <c r="CM39" i="1"/>
  <c r="CX24" i="1"/>
  <c r="CX15" i="1"/>
  <c r="CT15" i="1"/>
  <c r="DB15" i="1"/>
  <c r="AR15" i="1"/>
  <c r="CP36" i="1"/>
  <c r="DB36" i="1"/>
  <c r="CQ36" i="1"/>
  <c r="AP60" i="1"/>
  <c r="AN60" i="1"/>
  <c r="AQ36" i="1"/>
  <c r="G38" i="1"/>
  <c r="AQ71" i="1"/>
  <c r="CV24" i="1"/>
  <c r="CR101" i="1"/>
  <c r="AJ15" i="1"/>
  <c r="AP100" i="1"/>
  <c r="CG21" i="1"/>
  <c r="CH21" i="1"/>
  <c r="DF21" i="1"/>
  <c r="CJ21" i="1"/>
  <c r="CL24" i="1"/>
  <c r="CR24" i="1"/>
  <c r="CU101" i="1"/>
  <c r="AP38" i="1"/>
  <c r="CQ39" i="1"/>
  <c r="AQ61" i="1"/>
  <c r="G63" i="1"/>
  <c r="CM24" i="1"/>
  <c r="DB33" i="1"/>
  <c r="AR33" i="1"/>
  <c r="CN92" i="1"/>
  <c r="CZ24" i="1"/>
  <c r="AN70" i="1"/>
  <c r="AP70" i="1"/>
  <c r="AM83" i="1"/>
  <c r="CO92" i="1"/>
  <c r="CN24" i="1"/>
  <c r="DG11" i="1"/>
  <c r="CS12" i="1"/>
  <c r="DE12" i="1"/>
  <c r="CU12" i="1"/>
  <c r="DC12" i="1"/>
  <c r="DA65" i="1"/>
  <c r="CW65" i="1"/>
  <c r="CZ65" i="1"/>
  <c r="CN65" i="1"/>
  <c r="CV65" i="1"/>
  <c r="CN39" i="1"/>
  <c r="AP11" i="1"/>
  <c r="AN53" i="1"/>
  <c r="AP53" i="1"/>
  <c r="CL38" i="1"/>
  <c r="CO38" i="1"/>
  <c r="CU38" i="1"/>
  <c r="CP38" i="1"/>
  <c r="DA38" i="1"/>
  <c r="CT38" i="1"/>
  <c r="CP50" i="1"/>
  <c r="AN78" i="1"/>
  <c r="CG72" i="1"/>
  <c r="CH72" i="1"/>
  <c r="DF72" i="1"/>
  <c r="CJ72" i="1"/>
  <c r="AQ85" i="1"/>
  <c r="DG85" i="1"/>
  <c r="CP24" i="1"/>
  <c r="CS24" i="1"/>
  <c r="CQ24" i="1"/>
  <c r="CO24" i="1"/>
  <c r="CW24" i="1"/>
  <c r="CR39" i="1"/>
  <c r="CY24" i="1"/>
  <c r="AP61" i="1"/>
  <c r="CX14" i="1"/>
  <c r="CN78" i="1"/>
  <c r="CQ78" i="1"/>
  <c r="CW78" i="1"/>
  <c r="CL78" i="1"/>
  <c r="CO78" i="1"/>
  <c r="CP78" i="1"/>
  <c r="CX78" i="1"/>
  <c r="CZ78" i="1"/>
  <c r="CZ92" i="1"/>
  <c r="CL92" i="1"/>
  <c r="CP92" i="1"/>
  <c r="CW92" i="1"/>
  <c r="CT92" i="1"/>
  <c r="CU39" i="1"/>
  <c r="CQ92" i="1"/>
  <c r="CU24" i="1"/>
  <c r="CX92" i="1"/>
  <c r="DG18" i="1"/>
  <c r="AP99" i="1"/>
  <c r="AN99" i="1"/>
  <c r="CJ85" i="1"/>
  <c r="AQ77" i="1"/>
  <c r="CW70" i="1"/>
  <c r="DE70" i="1"/>
  <c r="CN70" i="1"/>
  <c r="DD70" i="1"/>
  <c r="CN101" i="1"/>
  <c r="AN44" i="1"/>
  <c r="AP44" i="1"/>
  <c r="CJ22" i="1"/>
  <c r="CG22" i="1"/>
  <c r="CH22" i="1"/>
  <c r="DF22" i="1"/>
  <c r="CS14" i="1"/>
  <c r="CZ14" i="1"/>
  <c r="CQ14" i="1"/>
  <c r="DC14" i="1"/>
  <c r="CT14" i="1"/>
  <c r="CZ39" i="1"/>
  <c r="CZ97" i="1"/>
  <c r="CZ51" i="1"/>
  <c r="DD51" i="1"/>
  <c r="CZ36" i="1"/>
  <c r="DD36" i="1"/>
  <c r="G43" i="1"/>
  <c r="F24" i="2"/>
  <c r="DG37" i="1"/>
  <c r="CS92" i="1"/>
  <c r="CS19" i="1"/>
  <c r="CW19" i="1"/>
  <c r="AP35" i="1"/>
  <c r="CJ44" i="1"/>
  <c r="CG44" i="1"/>
  <c r="CH44" i="1"/>
  <c r="DF44" i="1"/>
  <c r="CJ57" i="1"/>
  <c r="CG57" i="1"/>
  <c r="CH57" i="1"/>
  <c r="DF57" i="1"/>
  <c r="CV38" i="1"/>
  <c r="AL33" i="1"/>
  <c r="CO97" i="1"/>
  <c r="DE97" i="1"/>
  <c r="CY70" i="1"/>
  <c r="DC70" i="1"/>
  <c r="DA51" i="1"/>
  <c r="DE51" i="1"/>
  <c r="CY36" i="1"/>
  <c r="CR92" i="1"/>
  <c r="CL73" i="1"/>
  <c r="DB73" i="1"/>
  <c r="AR73" i="1"/>
  <c r="CV73" i="1"/>
  <c r="CO101" i="1"/>
  <c r="AN86" i="1"/>
  <c r="AP86" i="1"/>
  <c r="CG37" i="1"/>
  <c r="CH37" i="1"/>
  <c r="DF37" i="1"/>
  <c r="CJ37" i="1"/>
  <c r="CS48" i="1"/>
  <c r="DE48" i="1"/>
  <c r="CK38" i="1"/>
  <c r="CQ38" i="1"/>
  <c r="AN87" i="1"/>
  <c r="AM82" i="1"/>
  <c r="CZ48" i="1"/>
  <c r="AP103" i="1"/>
  <c r="CX46" i="1"/>
  <c r="AN72" i="1"/>
  <c r="AN84" i="1"/>
  <c r="CJ94" i="1"/>
  <c r="AJ21" i="1"/>
  <c r="AP21" i="1"/>
  <c r="AL34" i="1"/>
  <c r="AJ34" i="1"/>
  <c r="AN34" i="1"/>
  <c r="CS25" i="1"/>
  <c r="CR25" i="1"/>
  <c r="CX103" i="1"/>
  <c r="AN88" i="1"/>
  <c r="CW50" i="1"/>
  <c r="CZ50" i="1"/>
  <c r="CG52" i="1"/>
  <c r="CH52" i="1"/>
  <c r="DF52" i="1"/>
  <c r="CJ52" i="1"/>
  <c r="AL65" i="1"/>
  <c r="CG16" i="1"/>
  <c r="CH16" i="1"/>
  <c r="DF16" i="1"/>
  <c r="G22" i="1"/>
  <c r="C31" i="2"/>
  <c r="CJ16" i="1"/>
  <c r="AJ68" i="1"/>
  <c r="AP68" i="1"/>
  <c r="CM91" i="1"/>
  <c r="CT91" i="1"/>
  <c r="CW91" i="1"/>
  <c r="DE91" i="1"/>
  <c r="CR91" i="1"/>
  <c r="CQ91" i="1"/>
  <c r="AN103" i="1"/>
  <c r="AJ41" i="1"/>
  <c r="AN41" i="1"/>
  <c r="AL16" i="1"/>
  <c r="AJ16" i="1"/>
  <c r="AN16" i="1"/>
  <c r="CI16" i="1"/>
  <c r="CJ99" i="1"/>
  <c r="CG99" i="1"/>
  <c r="CH99" i="1"/>
  <c r="AP76" i="1"/>
  <c r="DA48" i="1"/>
  <c r="CK78" i="1"/>
  <c r="CV78" i="1"/>
  <c r="CG25" i="1"/>
  <c r="CH25" i="1"/>
  <c r="DF25" i="1"/>
  <c r="CJ76" i="1"/>
  <c r="CG76" i="1"/>
  <c r="CH76" i="1"/>
  <c r="DF76" i="1"/>
  <c r="CV45" i="1"/>
  <c r="CQ66" i="1"/>
  <c r="CP66" i="1"/>
  <c r="CX66" i="1"/>
  <c r="CM66" i="1"/>
  <c r="CY66" i="1"/>
  <c r="AJ13" i="1"/>
  <c r="AN13" i="1"/>
  <c r="CQ25" i="1"/>
  <c r="V9" i="1"/>
  <c r="AK9" i="1"/>
  <c r="CJ83" i="1"/>
  <c r="CG83" i="1"/>
  <c r="CH83" i="1"/>
  <c r="DF83" i="1"/>
  <c r="CN76" i="1"/>
  <c r="CP46" i="1"/>
  <c r="CQ32" i="1"/>
  <c r="CP32" i="1"/>
  <c r="AJ50" i="1"/>
  <c r="CK13" i="1"/>
  <c r="CK89" i="1"/>
  <c r="CU89" i="1"/>
  <c r="CN88" i="1"/>
  <c r="CS88" i="1"/>
  <c r="CG87" i="1"/>
  <c r="CH87" i="1"/>
  <c r="DF87" i="1"/>
  <c r="CJ87" i="1"/>
  <c r="AL57" i="1"/>
  <c r="V27" i="1"/>
  <c r="AK27" i="1"/>
  <c r="AM102" i="1"/>
  <c r="CU46" i="1"/>
  <c r="AP91" i="1"/>
  <c r="CW45" i="1"/>
  <c r="CO25" i="1"/>
  <c r="CL46" i="1"/>
  <c r="DB46" i="1"/>
  <c r="AR46" i="1"/>
  <c r="CQ45" i="1"/>
  <c r="AP94" i="1"/>
  <c r="CG61" i="1"/>
  <c r="CH61" i="1"/>
  <c r="DF61" i="1"/>
  <c r="G71" i="1"/>
  <c r="C67" i="2"/>
  <c r="CJ61" i="1"/>
  <c r="DA14" i="1"/>
  <c r="CT65" i="1"/>
  <c r="CK32" i="1"/>
  <c r="CJ69" i="1"/>
  <c r="CG69" i="1"/>
  <c r="CH69" i="1"/>
  <c r="DF69" i="1"/>
  <c r="AJ65" i="1"/>
  <c r="AN65" i="1"/>
  <c r="CI28" i="1"/>
  <c r="AK28" i="1"/>
  <c r="AL28" i="1"/>
  <c r="AL45" i="1"/>
  <c r="AJ45" i="1"/>
  <c r="CK43" i="1"/>
  <c r="AN74" i="1"/>
  <c r="AJ83" i="1"/>
  <c r="AN83" i="1"/>
  <c r="AJ63" i="1"/>
  <c r="AN63" i="1"/>
  <c r="CG28" i="1"/>
  <c r="CH28" i="1"/>
  <c r="DF28" i="1"/>
  <c r="AN89" i="1"/>
  <c r="CJ67" i="1"/>
  <c r="CG67" i="1"/>
  <c r="CH67" i="1"/>
  <c r="DF67" i="1"/>
  <c r="V17" i="1"/>
  <c r="AK17" i="1"/>
  <c r="CI17" i="1"/>
  <c r="AM22" i="1"/>
  <c r="AJ22" i="1"/>
  <c r="AP23" i="1"/>
  <c r="CM45" i="1"/>
  <c r="CV46" i="1"/>
  <c r="CU14" i="1"/>
  <c r="CW14" i="1"/>
  <c r="CL14" i="1"/>
  <c r="DB14" i="1"/>
  <c r="AR14" i="1"/>
  <c r="CN14" i="1"/>
  <c r="DD14" i="1"/>
  <c r="AJ82" i="1"/>
  <c r="AN82" i="1"/>
  <c r="CG26" i="1"/>
  <c r="CH26" i="1"/>
  <c r="DF26" i="1"/>
  <c r="CJ26" i="1"/>
  <c r="DA46" i="1"/>
  <c r="CN41" i="1"/>
  <c r="CS41" i="1"/>
  <c r="DE41" i="1"/>
  <c r="CV41" i="1"/>
  <c r="CK45" i="1"/>
  <c r="DA45" i="1"/>
  <c r="CK19" i="1"/>
  <c r="CK44" i="1"/>
  <c r="CK18" i="1"/>
  <c r="CK25" i="1"/>
  <c r="CK10" i="1"/>
  <c r="CK50" i="1"/>
  <c r="CK8" i="1"/>
  <c r="CK101" i="1"/>
  <c r="CL101" i="1"/>
  <c r="CK65" i="1"/>
  <c r="CK103" i="1"/>
  <c r="CK20" i="1"/>
  <c r="CK53" i="1"/>
  <c r="CO53" i="1"/>
  <c r="CK83" i="1"/>
  <c r="DA83" i="1"/>
  <c r="CK74" i="1"/>
  <c r="CK35" i="1"/>
  <c r="CV35" i="1"/>
  <c r="CK47" i="1"/>
  <c r="CK69" i="1"/>
  <c r="CK23" i="1"/>
  <c r="CK76" i="1"/>
  <c r="CK87" i="1"/>
  <c r="CK22" i="1"/>
  <c r="CK94" i="1"/>
  <c r="CK102" i="1"/>
  <c r="CK88" i="1"/>
  <c r="CJ10" i="1"/>
  <c r="AL38" i="1"/>
  <c r="AJ38" i="1"/>
  <c r="AN38" i="1"/>
  <c r="CN25" i="1"/>
  <c r="CR48" i="1"/>
  <c r="DD48" i="1"/>
  <c r="CY46" i="1"/>
  <c r="CZ41" i="1"/>
  <c r="CJ58" i="1"/>
  <c r="CJ18" i="1"/>
  <c r="CK77" i="1"/>
  <c r="CR77" i="1"/>
  <c r="CG75" i="1"/>
  <c r="CH75" i="1"/>
  <c r="DF75" i="1"/>
  <c r="CJ74" i="1"/>
  <c r="CW74" i="1"/>
  <c r="CG74" i="1"/>
  <c r="CH74" i="1"/>
  <c r="DF74" i="1"/>
  <c r="AL8" i="1"/>
  <c r="AK25" i="1"/>
  <c r="CZ45" i="1"/>
  <c r="CT46" i="1"/>
  <c r="CJ93" i="1"/>
  <c r="DA41" i="1"/>
  <c r="CN50" i="1"/>
  <c r="CK9" i="1"/>
  <c r="Q19" i="1"/>
  <c r="Q26" i="1"/>
  <c r="AM26" i="1"/>
  <c r="Q101" i="1"/>
  <c r="AM101" i="1"/>
  <c r="Q28" i="1"/>
  <c r="Q17" i="1"/>
  <c r="Q13" i="1"/>
  <c r="AM13" i="1"/>
  <c r="Q24" i="1"/>
  <c r="Q27" i="1"/>
  <c r="Q10" i="1"/>
  <c r="Q102" i="1"/>
  <c r="Q12" i="1"/>
  <c r="Q25" i="1"/>
  <c r="Q9" i="1"/>
  <c r="Q20" i="1"/>
  <c r="Q52" i="1"/>
  <c r="Q16" i="1"/>
  <c r="AM16" i="1"/>
  <c r="CW46" i="1"/>
  <c r="CK99" i="1"/>
  <c r="CK26" i="1"/>
  <c r="CT102" i="1"/>
  <c r="CM88" i="1"/>
  <c r="CY88" i="1"/>
  <c r="CU88" i="1"/>
  <c r="CN46" i="1"/>
  <c r="DD46" i="1"/>
  <c r="CR41" i="1"/>
  <c r="CM25" i="1"/>
  <c r="CR14" i="1"/>
  <c r="CJ84" i="1"/>
  <c r="CI32" i="1"/>
  <c r="AL32" i="1"/>
  <c r="AK32" i="1"/>
  <c r="CY41" i="1"/>
  <c r="CL41" i="1"/>
  <c r="CT41" i="1"/>
  <c r="P42" i="1"/>
  <c r="CI22" i="1"/>
  <c r="AM67" i="1"/>
  <c r="AJ67" i="1"/>
  <c r="AN67" i="1"/>
  <c r="AK92" i="1"/>
  <c r="AJ92" i="1"/>
  <c r="AN92" i="1"/>
  <c r="CO14" i="1"/>
  <c r="AM33" i="1"/>
  <c r="CR89" i="1"/>
  <c r="CJ96" i="1"/>
  <c r="Q69" i="1"/>
  <c r="V60" i="1"/>
  <c r="J43" i="1"/>
  <c r="Q67" i="1"/>
  <c r="AK57" i="1"/>
  <c r="AJ57" i="1"/>
  <c r="AK52" i="1"/>
  <c r="CG12" i="1"/>
  <c r="CH12" i="1"/>
  <c r="DF12" i="1"/>
  <c r="CG39" i="1"/>
  <c r="CH39" i="1"/>
  <c r="DF39" i="1"/>
  <c r="AK47" i="1"/>
  <c r="AJ47" i="1"/>
  <c r="AL92" i="1"/>
  <c r="V20" i="1"/>
  <c r="CJ71" i="1"/>
  <c r="Q58" i="1"/>
  <c r="CI59" i="1"/>
  <c r="AL46" i="1"/>
  <c r="AJ46" i="1"/>
  <c r="AN46" i="1"/>
  <c r="AM9" i="1"/>
  <c r="AK98" i="1"/>
  <c r="AJ98" i="1"/>
  <c r="AN98" i="1"/>
  <c r="AK102" i="1"/>
  <c r="AJ102" i="1"/>
  <c r="AN102" i="1"/>
  <c r="Q57" i="1"/>
  <c r="AM57" i="1"/>
  <c r="P46" i="1"/>
  <c r="AK8" i="1"/>
  <c r="CI66" i="1"/>
  <c r="CI102" i="1"/>
  <c r="E18" i="2"/>
  <c r="B36" i="5"/>
  <c r="AM92" i="1"/>
  <c r="P49" i="1"/>
  <c r="Q78" i="1"/>
  <c r="AM78" i="1"/>
  <c r="AJ78" i="1"/>
  <c r="P51" i="1"/>
  <c r="P9" i="1"/>
  <c r="DF99" i="1"/>
  <c r="CG88" i="1"/>
  <c r="CH88" i="1"/>
  <c r="DF88" i="1"/>
  <c r="AK93" i="1"/>
  <c r="CS89" i="1"/>
  <c r="AJ8" i="1"/>
  <c r="AN8" i="1"/>
  <c r="AM93" i="1"/>
  <c r="AJ66" i="1"/>
  <c r="AP66" i="1"/>
  <c r="AM88" i="1"/>
  <c r="CI72" i="1"/>
  <c r="Q62" i="1"/>
  <c r="P34" i="1"/>
  <c r="P43" i="1"/>
  <c r="P48" i="1"/>
  <c r="AL66" i="1"/>
  <c r="P26" i="1"/>
  <c r="AL26" i="1"/>
  <c r="AJ26" i="1"/>
  <c r="AN26" i="1"/>
  <c r="P14" i="1"/>
  <c r="AL14" i="1"/>
  <c r="AJ14" i="1"/>
  <c r="AN14" i="1"/>
  <c r="V100" i="1"/>
  <c r="P101" i="1"/>
  <c r="Q73" i="1"/>
  <c r="AN57" i="1"/>
  <c r="AP57" i="1"/>
  <c r="DG14" i="1"/>
  <c r="AQ14" i="1"/>
  <c r="AQ26" i="1"/>
  <c r="DG26" i="1"/>
  <c r="AQ41" i="1"/>
  <c r="DG41" i="1"/>
  <c r="CP47" i="1"/>
  <c r="CX47" i="1"/>
  <c r="CW47" i="1"/>
  <c r="CU47" i="1"/>
  <c r="CY47" i="1"/>
  <c r="CS47" i="1"/>
  <c r="CV47" i="1"/>
  <c r="CR47" i="1"/>
  <c r="CZ47" i="1"/>
  <c r="CN47" i="1"/>
  <c r="DD47" i="1"/>
  <c r="CO47" i="1"/>
  <c r="CL47" i="1"/>
  <c r="CM47" i="1"/>
  <c r="CQ47" i="1"/>
  <c r="DA47" i="1"/>
  <c r="DG13" i="1"/>
  <c r="AQ13" i="1"/>
  <c r="DG46" i="1"/>
  <c r="AQ46" i="1"/>
  <c r="DG39" i="1"/>
  <c r="AQ39" i="1"/>
  <c r="CS96" i="1"/>
  <c r="CY96" i="1"/>
  <c r="CV96" i="1"/>
  <c r="CR96" i="1"/>
  <c r="CT96" i="1"/>
  <c r="CQ96" i="1"/>
  <c r="CX96" i="1"/>
  <c r="CM96" i="1"/>
  <c r="DC96" i="1"/>
  <c r="DA96" i="1"/>
  <c r="CN96" i="1"/>
  <c r="CU96" i="1"/>
  <c r="CO96" i="1"/>
  <c r="CL96" i="1"/>
  <c r="CW96" i="1"/>
  <c r="CP96" i="1"/>
  <c r="CZ96" i="1"/>
  <c r="AQ103" i="1"/>
  <c r="DG103" i="1"/>
  <c r="AM73" i="1"/>
  <c r="AJ73" i="1"/>
  <c r="AN73" i="1"/>
  <c r="AM19" i="1"/>
  <c r="AJ19" i="1"/>
  <c r="AN19" i="1"/>
  <c r="AP19" i="1"/>
  <c r="AQ98" i="1"/>
  <c r="DG98" i="1"/>
  <c r="DD65" i="1"/>
  <c r="CO35" i="1"/>
  <c r="DE35" i="1"/>
  <c r="CN35" i="1"/>
  <c r="DD35" i="1"/>
  <c r="CM72" i="1"/>
  <c r="CT72" i="1"/>
  <c r="CP72" i="1"/>
  <c r="CY72" i="1"/>
  <c r="CX72" i="1"/>
  <c r="CL72" i="1"/>
  <c r="CU72" i="1"/>
  <c r="CQ72" i="1"/>
  <c r="CM103" i="1"/>
  <c r="CR103" i="1"/>
  <c r="CU103" i="1"/>
  <c r="CZ103" i="1"/>
  <c r="CS103" i="1"/>
  <c r="CN103" i="1"/>
  <c r="CV103" i="1"/>
  <c r="CY103" i="1"/>
  <c r="CP103" i="1"/>
  <c r="CO103" i="1"/>
  <c r="DA103" i="1"/>
  <c r="CL103" i="1"/>
  <c r="DB103" i="1"/>
  <c r="AR103" i="1"/>
  <c r="CW103" i="1"/>
  <c r="CM94" i="1"/>
  <c r="CY94" i="1"/>
  <c r="CZ94" i="1"/>
  <c r="CW94" i="1"/>
  <c r="CP94" i="1"/>
  <c r="CQ94" i="1"/>
  <c r="CX94" i="1"/>
  <c r="CL94" i="1"/>
  <c r="CN94" i="1"/>
  <c r="CU94" i="1"/>
  <c r="CS94" i="1"/>
  <c r="CT94" i="1"/>
  <c r="CV94" i="1"/>
  <c r="CR94" i="1"/>
  <c r="DA94" i="1"/>
  <c r="CO94" i="1"/>
  <c r="DE94" i="1"/>
  <c r="CS78" i="1"/>
  <c r="DE78" i="1"/>
  <c r="CZ101" i="1"/>
  <c r="CS101" i="1"/>
  <c r="CQ35" i="1"/>
  <c r="CQ53" i="1"/>
  <c r="CN53" i="1"/>
  <c r="CU53" i="1"/>
  <c r="CL53" i="1"/>
  <c r="CP53" i="1"/>
  <c r="CR53" i="1"/>
  <c r="CV53" i="1"/>
  <c r="CW53" i="1"/>
  <c r="DA53" i="1"/>
  <c r="CS53" i="1"/>
  <c r="DE53" i="1"/>
  <c r="CT53" i="1"/>
  <c r="CY53" i="1"/>
  <c r="CM53" i="1"/>
  <c r="DC53" i="1"/>
  <c r="DG92" i="1"/>
  <c r="AQ92" i="1"/>
  <c r="AN50" i="1"/>
  <c r="AP50" i="1"/>
  <c r="AQ78" i="1"/>
  <c r="DG78" i="1"/>
  <c r="AP14" i="1"/>
  <c r="AL49" i="1"/>
  <c r="AJ49" i="1"/>
  <c r="AN49" i="1"/>
  <c r="AL42" i="1"/>
  <c r="AJ42" i="1"/>
  <c r="AN42" i="1"/>
  <c r="AP42" i="1"/>
  <c r="AN21" i="1"/>
  <c r="CY8" i="1"/>
  <c r="CU8" i="1"/>
  <c r="CV8" i="1"/>
  <c r="CN8" i="1"/>
  <c r="CZ8" i="1"/>
  <c r="CX8" i="1"/>
  <c r="CM8" i="1"/>
  <c r="CW8" i="1"/>
  <c r="CR8" i="1"/>
  <c r="CL8" i="1"/>
  <c r="CO8" i="1"/>
  <c r="DE8" i="1"/>
  <c r="CT8" i="1"/>
  <c r="CS8" i="1"/>
  <c r="CP8" i="1"/>
  <c r="DA8" i="1"/>
  <c r="CQ8" i="1"/>
  <c r="CY45" i="1"/>
  <c r="CN45" i="1"/>
  <c r="AQ84" i="1"/>
  <c r="DG84" i="1"/>
  <c r="CY78" i="1"/>
  <c r="DD24" i="1"/>
  <c r="AP82" i="1"/>
  <c r="CV101" i="1"/>
  <c r="DD101" i="1"/>
  <c r="AM69" i="1"/>
  <c r="AJ69" i="1"/>
  <c r="AN69" i="1"/>
  <c r="AP69" i="1"/>
  <c r="CZ37" i="1"/>
  <c r="CS37" i="1"/>
  <c r="CN37" i="1"/>
  <c r="DD37" i="1"/>
  <c r="DA37" i="1"/>
  <c r="CY37" i="1"/>
  <c r="CM37" i="1"/>
  <c r="DC37" i="1"/>
  <c r="CX37" i="1"/>
  <c r="CO37" i="1"/>
  <c r="CV37" i="1"/>
  <c r="CL37" i="1"/>
  <c r="DB37" i="1"/>
  <c r="AR37" i="1"/>
  <c r="CP37" i="1"/>
  <c r="CT37" i="1"/>
  <c r="CR37" i="1"/>
  <c r="CU37" i="1"/>
  <c r="CW37" i="1"/>
  <c r="CQ37" i="1"/>
  <c r="CQ18" i="1"/>
  <c r="CU18" i="1"/>
  <c r="CY18" i="1"/>
  <c r="CW18" i="1"/>
  <c r="CZ18" i="1"/>
  <c r="CN18" i="1"/>
  <c r="CP18" i="1"/>
  <c r="CM18" i="1"/>
  <c r="DC18" i="1"/>
  <c r="CR18" i="1"/>
  <c r="CL18" i="1"/>
  <c r="DB18" i="1"/>
  <c r="AR18" i="1"/>
  <c r="CS18" i="1"/>
  <c r="DA18" i="1"/>
  <c r="CO18" i="1"/>
  <c r="CT18" i="1"/>
  <c r="CV18" i="1"/>
  <c r="CX18" i="1"/>
  <c r="AP16" i="1"/>
  <c r="AM58" i="1"/>
  <c r="AJ58" i="1"/>
  <c r="AN58" i="1"/>
  <c r="AP58" i="1"/>
  <c r="AP26" i="1"/>
  <c r="AQ38" i="1"/>
  <c r="DG38" i="1"/>
  <c r="CM50" i="1"/>
  <c r="CY50" i="1"/>
  <c r="CL50" i="1"/>
  <c r="CX50" i="1"/>
  <c r="CT50" i="1"/>
  <c r="CQ50" i="1"/>
  <c r="CV50" i="1"/>
  <c r="CR50" i="1"/>
  <c r="DD50" i="1"/>
  <c r="CU50" i="1"/>
  <c r="AP63" i="1"/>
  <c r="AP45" i="1"/>
  <c r="AN45" i="1"/>
  <c r="AP78" i="1"/>
  <c r="CL76" i="1"/>
  <c r="CM76" i="1"/>
  <c r="CZ76" i="1"/>
  <c r="CO76" i="1"/>
  <c r="CW76" i="1"/>
  <c r="CQ76" i="1"/>
  <c r="CY76" i="1"/>
  <c r="CX76" i="1"/>
  <c r="CS76" i="1"/>
  <c r="CT76" i="1"/>
  <c r="CU76" i="1"/>
  <c r="CP76" i="1"/>
  <c r="CV76" i="1"/>
  <c r="DD76" i="1"/>
  <c r="DA76" i="1"/>
  <c r="DG72" i="1"/>
  <c r="AQ72" i="1"/>
  <c r="DE92" i="1"/>
  <c r="CQ101" i="1"/>
  <c r="DC36" i="1"/>
  <c r="G44" i="1"/>
  <c r="F25" i="2"/>
  <c r="AP8" i="1"/>
  <c r="AJ93" i="1"/>
  <c r="CT89" i="1"/>
  <c r="CW89" i="1"/>
  <c r="CP89" i="1"/>
  <c r="DA89" i="1"/>
  <c r="CM89" i="1"/>
  <c r="CY89" i="1"/>
  <c r="CZ89" i="1"/>
  <c r="CQ89" i="1"/>
  <c r="CL89" i="1"/>
  <c r="CX89" i="1"/>
  <c r="AL101" i="1"/>
  <c r="AJ101" i="1"/>
  <c r="AN101" i="1"/>
  <c r="AP101" i="1"/>
  <c r="DD78" i="1"/>
  <c r="CR83" i="1"/>
  <c r="CT103" i="1"/>
  <c r="AN47" i="1"/>
  <c r="AP47" i="1"/>
  <c r="DE46" i="1"/>
  <c r="CT47" i="1"/>
  <c r="CT10" i="1"/>
  <c r="CP10" i="1"/>
  <c r="CL10" i="1"/>
  <c r="CN10" i="1"/>
  <c r="CY10" i="1"/>
  <c r="CW10" i="1"/>
  <c r="CV10" i="1"/>
  <c r="CQ10" i="1"/>
  <c r="CS10" i="1"/>
  <c r="CO10" i="1"/>
  <c r="CZ10" i="1"/>
  <c r="CX10" i="1"/>
  <c r="CM10" i="1"/>
  <c r="DC10" i="1"/>
  <c r="CR10" i="1"/>
  <c r="DA10" i="1"/>
  <c r="CU10" i="1"/>
  <c r="CX53" i="1"/>
  <c r="CR76" i="1"/>
  <c r="CX16" i="1"/>
  <c r="CL16" i="1"/>
  <c r="CQ16" i="1"/>
  <c r="CY16" i="1"/>
  <c r="CM16" i="1"/>
  <c r="CU16" i="1"/>
  <c r="CT16" i="1"/>
  <c r="CP16" i="1"/>
  <c r="CY101" i="1"/>
  <c r="G48" i="1"/>
  <c r="F33" i="2"/>
  <c r="AR36" i="1"/>
  <c r="G39" i="1"/>
  <c r="J24" i="5"/>
  <c r="AQ16" i="1"/>
  <c r="G14" i="1"/>
  <c r="DG16" i="1"/>
  <c r="G23" i="1"/>
  <c r="CY35" i="1"/>
  <c r="CP35" i="1"/>
  <c r="CL35" i="1"/>
  <c r="CT35" i="1"/>
  <c r="CX35" i="1"/>
  <c r="AL9" i="1"/>
  <c r="AQ34" i="1"/>
  <c r="DG34" i="1"/>
  <c r="CJ20" i="1"/>
  <c r="CG20" i="1"/>
  <c r="CH20" i="1"/>
  <c r="DF20" i="1"/>
  <c r="DC45" i="1"/>
  <c r="CM78" i="1"/>
  <c r="CR78" i="1"/>
  <c r="CT78" i="1"/>
  <c r="DB78" i="1"/>
  <c r="AR78" i="1"/>
  <c r="CU78" i="1"/>
  <c r="DA78" i="1"/>
  <c r="AP83" i="1"/>
  <c r="DC25" i="1"/>
  <c r="DC51" i="1"/>
  <c r="CP26" i="1"/>
  <c r="DA26" i="1"/>
  <c r="CU26" i="1"/>
  <c r="CQ26" i="1"/>
  <c r="CW26" i="1"/>
  <c r="CZ26" i="1"/>
  <c r="CY26" i="1"/>
  <c r="CO26" i="1"/>
  <c r="CV26" i="1"/>
  <c r="CT26" i="1"/>
  <c r="CX26" i="1"/>
  <c r="CL26" i="1"/>
  <c r="DB26" i="1"/>
  <c r="AR26" i="1"/>
  <c r="CN26" i="1"/>
  <c r="CM26" i="1"/>
  <c r="CS26" i="1"/>
  <c r="CR26" i="1"/>
  <c r="CV59" i="1"/>
  <c r="DA59" i="1"/>
  <c r="CO59" i="1"/>
  <c r="DE59" i="1"/>
  <c r="CR59" i="1"/>
  <c r="CN59" i="1"/>
  <c r="CZ59" i="1"/>
  <c r="CW59" i="1"/>
  <c r="CS59" i="1"/>
  <c r="AQ82" i="1"/>
  <c r="DG82" i="1"/>
  <c r="CO71" i="1"/>
  <c r="DE71" i="1"/>
  <c r="CY71" i="1"/>
  <c r="CX71" i="1"/>
  <c r="CL71" i="1"/>
  <c r="CQ71" i="1"/>
  <c r="CR71" i="1"/>
  <c r="CV71" i="1"/>
  <c r="CT71" i="1"/>
  <c r="CP71" i="1"/>
  <c r="CZ71" i="1"/>
  <c r="CU71" i="1"/>
  <c r="CM71" i="1"/>
  <c r="DC71" i="1"/>
  <c r="CN71" i="1"/>
  <c r="DD71" i="1"/>
  <c r="CS71" i="1"/>
  <c r="DA71" i="1"/>
  <c r="CW71" i="1"/>
  <c r="DG67" i="1"/>
  <c r="AQ67" i="1"/>
  <c r="DA22" i="1"/>
  <c r="CS22" i="1"/>
  <c r="CO22" i="1"/>
  <c r="CV22" i="1"/>
  <c r="CR22" i="1"/>
  <c r="CZ22" i="1"/>
  <c r="CW22" i="1"/>
  <c r="CN22" i="1"/>
  <c r="CP101" i="1"/>
  <c r="DB101" i="1"/>
  <c r="AR101" i="1"/>
  <c r="CX101" i="1"/>
  <c r="AL48" i="1"/>
  <c r="AJ48" i="1"/>
  <c r="AN48" i="1"/>
  <c r="AP48" i="1"/>
  <c r="CW88" i="1"/>
  <c r="CP88" i="1"/>
  <c r="CL88" i="1"/>
  <c r="CO88" i="1"/>
  <c r="CZ88" i="1"/>
  <c r="DA88" i="1"/>
  <c r="CV88" i="1"/>
  <c r="CQ88" i="1"/>
  <c r="CR88" i="1"/>
  <c r="DD88" i="1"/>
  <c r="CT88" i="1"/>
  <c r="CX88" i="1"/>
  <c r="CL25" i="1"/>
  <c r="CY25" i="1"/>
  <c r="CT25" i="1"/>
  <c r="CX25" i="1"/>
  <c r="CP25" i="1"/>
  <c r="CU25" i="1"/>
  <c r="CZ25" i="1"/>
  <c r="CV25" i="1"/>
  <c r="DD25" i="1"/>
  <c r="CW25" i="1"/>
  <c r="DE25" i="1"/>
  <c r="AL43" i="1"/>
  <c r="AJ43" i="1"/>
  <c r="AN43" i="1"/>
  <c r="AP43" i="1"/>
  <c r="CV102" i="1"/>
  <c r="CS102" i="1"/>
  <c r="CW102" i="1"/>
  <c r="CO102" i="1"/>
  <c r="DE102" i="1"/>
  <c r="CR102" i="1"/>
  <c r="DA102" i="1"/>
  <c r="CZ102" i="1"/>
  <c r="CN102" i="1"/>
  <c r="CO89" i="1"/>
  <c r="DE89" i="1"/>
  <c r="AJ32" i="1"/>
  <c r="AM52" i="1"/>
  <c r="CU102" i="1"/>
  <c r="CP102" i="1"/>
  <c r="CX102" i="1"/>
  <c r="CQ102" i="1"/>
  <c r="CM102" i="1"/>
  <c r="CL102" i="1"/>
  <c r="DB102" i="1"/>
  <c r="AR102" i="1"/>
  <c r="CY102" i="1"/>
  <c r="AM28" i="1"/>
  <c r="AJ28" i="1"/>
  <c r="CZ53" i="1"/>
  <c r="CM101" i="1"/>
  <c r="CZ23" i="1"/>
  <c r="CL23" i="1"/>
  <c r="CV23" i="1"/>
  <c r="CP23" i="1"/>
  <c r="CQ23" i="1"/>
  <c r="CO23" i="1"/>
  <c r="CM23" i="1"/>
  <c r="DC23" i="1"/>
  <c r="CY23" i="1"/>
  <c r="CS23" i="1"/>
  <c r="CR23" i="1"/>
  <c r="CN23" i="1"/>
  <c r="DD23" i="1"/>
  <c r="DA23" i="1"/>
  <c r="CU23" i="1"/>
  <c r="CT23" i="1"/>
  <c r="CW23" i="1"/>
  <c r="CX23" i="1"/>
  <c r="AP41" i="1"/>
  <c r="CY67" i="1"/>
  <c r="CT67" i="1"/>
  <c r="CO67" i="1"/>
  <c r="CR67" i="1"/>
  <c r="CS67" i="1"/>
  <c r="CP67" i="1"/>
  <c r="CX67" i="1"/>
  <c r="CU67" i="1"/>
  <c r="DA67" i="1"/>
  <c r="CQ67" i="1"/>
  <c r="CM67" i="1"/>
  <c r="CL67" i="1"/>
  <c r="CZ67" i="1"/>
  <c r="CV67" i="1"/>
  <c r="CO44" i="1"/>
  <c r="CS44" i="1"/>
  <c r="CX44" i="1"/>
  <c r="CP44" i="1"/>
  <c r="CQ44" i="1"/>
  <c r="CN44" i="1"/>
  <c r="CR44" i="1"/>
  <c r="CU44" i="1"/>
  <c r="CM44" i="1"/>
  <c r="CW44" i="1"/>
  <c r="CT44" i="1"/>
  <c r="CL44" i="1"/>
  <c r="CZ44" i="1"/>
  <c r="DA44" i="1"/>
  <c r="CV44" i="1"/>
  <c r="CY44" i="1"/>
  <c r="CR61" i="1"/>
  <c r="CZ61" i="1"/>
  <c r="CT61" i="1"/>
  <c r="CP61" i="1"/>
  <c r="DA61" i="1"/>
  <c r="CW61" i="1"/>
  <c r="CQ61" i="1"/>
  <c r="CM61" i="1"/>
  <c r="CO61" i="1"/>
  <c r="DE61" i="1"/>
  <c r="G67" i="1"/>
  <c r="C59" i="2"/>
  <c r="CX61" i="1"/>
  <c r="CY61" i="1"/>
  <c r="CV61" i="1"/>
  <c r="CN61" i="1"/>
  <c r="CL61" i="1"/>
  <c r="CU61" i="1"/>
  <c r="CS61" i="1"/>
  <c r="DG88" i="1"/>
  <c r="AQ88" i="1"/>
  <c r="DE14" i="1"/>
  <c r="DG99" i="1"/>
  <c r="AQ99" i="1"/>
  <c r="AP34" i="1"/>
  <c r="CO66" i="1"/>
  <c r="CN66" i="1"/>
  <c r="CW66" i="1"/>
  <c r="CZ66" i="1"/>
  <c r="CR66" i="1"/>
  <c r="CV66" i="1"/>
  <c r="CS66" i="1"/>
  <c r="DA66" i="1"/>
  <c r="AM20" i="1"/>
  <c r="AJ20" i="1"/>
  <c r="AN20" i="1"/>
  <c r="AP20" i="1"/>
  <c r="CO93" i="1"/>
  <c r="DA93" i="1"/>
  <c r="CL93" i="1"/>
  <c r="CV93" i="1"/>
  <c r="CZ93" i="1"/>
  <c r="CX93" i="1"/>
  <c r="CY93" i="1"/>
  <c r="CS93" i="1"/>
  <c r="CW93" i="1"/>
  <c r="CT93" i="1"/>
  <c r="CR93" i="1"/>
  <c r="CN93" i="1"/>
  <c r="CU93" i="1"/>
  <c r="CM93" i="1"/>
  <c r="CP93" i="1"/>
  <c r="CQ93" i="1"/>
  <c r="AP22" i="1"/>
  <c r="AN22" i="1"/>
  <c r="DA28" i="1"/>
  <c r="CZ28" i="1"/>
  <c r="CV28" i="1"/>
  <c r="CW28" i="1"/>
  <c r="CR28" i="1"/>
  <c r="CN28" i="1"/>
  <c r="CS28" i="1"/>
  <c r="CO28" i="1"/>
  <c r="DC46" i="1"/>
  <c r="CL83" i="1"/>
  <c r="CO83" i="1"/>
  <c r="CP83" i="1"/>
  <c r="CT83" i="1"/>
  <c r="CW83" i="1"/>
  <c r="CN83" i="1"/>
  <c r="CU83" i="1"/>
  <c r="CV83" i="1"/>
  <c r="CY83" i="1"/>
  <c r="CZ83" i="1"/>
  <c r="CS83" i="1"/>
  <c r="CQ83" i="1"/>
  <c r="CX83" i="1"/>
  <c r="CM83" i="1"/>
  <c r="DA25" i="1"/>
  <c r="AP65" i="1"/>
  <c r="CN67" i="1"/>
  <c r="AJ33" i="1"/>
  <c r="DG70" i="1"/>
  <c r="AQ70" i="1"/>
  <c r="AM24" i="1"/>
  <c r="AJ24" i="1"/>
  <c r="AN24" i="1"/>
  <c r="AP24" i="1"/>
  <c r="CZ35" i="1"/>
  <c r="CT58" i="1"/>
  <c r="CX58" i="1"/>
  <c r="CQ58" i="1"/>
  <c r="CP58" i="1"/>
  <c r="CY58" i="1"/>
  <c r="CV58" i="1"/>
  <c r="CO58" i="1"/>
  <c r="DE58" i="1"/>
  <c r="CN58" i="1"/>
  <c r="DA58" i="1"/>
  <c r="CS58" i="1"/>
  <c r="CM58" i="1"/>
  <c r="CR58" i="1"/>
  <c r="CL58" i="1"/>
  <c r="CZ58" i="1"/>
  <c r="CU58" i="1"/>
  <c r="CW58" i="1"/>
  <c r="AQ86" i="1"/>
  <c r="G88" i="1"/>
  <c r="DG86" i="1"/>
  <c r="G97" i="1"/>
  <c r="DG100" i="1"/>
  <c r="AQ100" i="1"/>
  <c r="CR17" i="1"/>
  <c r="CO17" i="1"/>
  <c r="DA17" i="1"/>
  <c r="CW17" i="1"/>
  <c r="CN17" i="1"/>
  <c r="CS17" i="1"/>
  <c r="AP92" i="1"/>
  <c r="CX52" i="1"/>
  <c r="CT52" i="1"/>
  <c r="DA52" i="1"/>
  <c r="CV52" i="1"/>
  <c r="CR52" i="1"/>
  <c r="CP52" i="1"/>
  <c r="CQ52" i="1"/>
  <c r="CW52" i="1"/>
  <c r="CO52" i="1"/>
  <c r="CU52" i="1"/>
  <c r="CS52" i="1"/>
  <c r="CN52" i="1"/>
  <c r="CZ52" i="1"/>
  <c r="CM52" i="1"/>
  <c r="CY52" i="1"/>
  <c r="CL52" i="1"/>
  <c r="DB52" i="1"/>
  <c r="AR52" i="1"/>
  <c r="DC39" i="1"/>
  <c r="AQ66" i="1"/>
  <c r="DG66" i="1"/>
  <c r="DA13" i="1"/>
  <c r="CO13" i="1"/>
  <c r="DE13" i="1"/>
  <c r="CZ13" i="1"/>
  <c r="CS13" i="1"/>
  <c r="CP13" i="1"/>
  <c r="CQ13" i="1"/>
  <c r="CN13" i="1"/>
  <c r="DD13" i="1"/>
  <c r="CV13" i="1"/>
  <c r="CX13" i="1"/>
  <c r="CW13" i="1"/>
  <c r="CT13" i="1"/>
  <c r="CU13" i="1"/>
  <c r="CL13" i="1"/>
  <c r="DB13" i="1"/>
  <c r="AR13" i="1"/>
  <c r="CY13" i="1"/>
  <c r="CM13" i="1"/>
  <c r="DC13" i="1"/>
  <c r="DG74" i="1"/>
  <c r="AQ74" i="1"/>
  <c r="CN85" i="1"/>
  <c r="DD85" i="1"/>
  <c r="CW85" i="1"/>
  <c r="CM85" i="1"/>
  <c r="CQ85" i="1"/>
  <c r="CV85" i="1"/>
  <c r="DA85" i="1"/>
  <c r="CU85" i="1"/>
  <c r="CZ85" i="1"/>
  <c r="CS85" i="1"/>
  <c r="CY85" i="1"/>
  <c r="CP85" i="1"/>
  <c r="CT85" i="1"/>
  <c r="CL85" i="1"/>
  <c r="CR85" i="1"/>
  <c r="CO85" i="1"/>
  <c r="CX85" i="1"/>
  <c r="AL51" i="1"/>
  <c r="AJ51" i="1"/>
  <c r="AN51" i="1"/>
  <c r="CS32" i="1"/>
  <c r="DA32" i="1"/>
  <c r="CO32" i="1"/>
  <c r="DE32" i="1"/>
  <c r="CV32" i="1"/>
  <c r="CZ32" i="1"/>
  <c r="CN32" i="1"/>
  <c r="CW32" i="1"/>
  <c r="CR32" i="1"/>
  <c r="DA19" i="1"/>
  <c r="CO19" i="1"/>
  <c r="DE19" i="1"/>
  <c r="CV19" i="1"/>
  <c r="CY19" i="1"/>
  <c r="CR19" i="1"/>
  <c r="CX19" i="1"/>
  <c r="CP19" i="1"/>
  <c r="CN19" i="1"/>
  <c r="CT19" i="1"/>
  <c r="CL19" i="1"/>
  <c r="DB19" i="1"/>
  <c r="AR19" i="1"/>
  <c r="CM19" i="1"/>
  <c r="CU19" i="1"/>
  <c r="CQ19" i="1"/>
  <c r="CZ19" i="1"/>
  <c r="CU35" i="1"/>
  <c r="CR13" i="1"/>
  <c r="DG53" i="1"/>
  <c r="AQ53" i="1"/>
  <c r="DA101" i="1"/>
  <c r="DE101" i="1"/>
  <c r="CQ103" i="1"/>
  <c r="AP98" i="1"/>
  <c r="AM27" i="1"/>
  <c r="AJ27" i="1"/>
  <c r="CP87" i="1"/>
  <c r="CZ87" i="1"/>
  <c r="CM87" i="1"/>
  <c r="CR87" i="1"/>
  <c r="CY87" i="1"/>
  <c r="CN87" i="1"/>
  <c r="CQ87" i="1"/>
  <c r="CL87" i="1"/>
  <c r="CO87" i="1"/>
  <c r="DE87" i="1"/>
  <c r="CV87" i="1"/>
  <c r="CX87" i="1"/>
  <c r="CS87" i="1"/>
  <c r="DA87" i="1"/>
  <c r="CU87" i="1"/>
  <c r="CT87" i="1"/>
  <c r="AQ8" i="1"/>
  <c r="DG8" i="1"/>
  <c r="AP13" i="1"/>
  <c r="DG60" i="1"/>
  <c r="AQ60" i="1"/>
  <c r="CG100" i="1"/>
  <c r="CH100" i="1"/>
  <c r="DF100" i="1"/>
  <c r="CJ100" i="1"/>
  <c r="AM62" i="1"/>
  <c r="AJ62" i="1"/>
  <c r="AN62" i="1"/>
  <c r="CO72" i="1"/>
  <c r="CR72" i="1"/>
  <c r="CN72" i="1"/>
  <c r="CS72" i="1"/>
  <c r="CW72" i="1"/>
  <c r="CZ72" i="1"/>
  <c r="CV72" i="1"/>
  <c r="DA72" i="1"/>
  <c r="AM25" i="1"/>
  <c r="AJ25" i="1"/>
  <c r="CT45" i="1"/>
  <c r="CL45" i="1"/>
  <c r="CR45" i="1"/>
  <c r="CO45" i="1"/>
  <c r="CS45" i="1"/>
  <c r="CP45" i="1"/>
  <c r="CX45" i="1"/>
  <c r="CU45" i="1"/>
  <c r="AJ9" i="1"/>
  <c r="AN9" i="1"/>
  <c r="CN84" i="1"/>
  <c r="CS84" i="1"/>
  <c r="CZ84" i="1"/>
  <c r="CM84" i="1"/>
  <c r="CX84" i="1"/>
  <c r="CY84" i="1"/>
  <c r="CW84" i="1"/>
  <c r="CT84" i="1"/>
  <c r="CV84" i="1"/>
  <c r="CL84" i="1"/>
  <c r="CR84" i="1"/>
  <c r="CO84" i="1"/>
  <c r="CU84" i="1"/>
  <c r="CP84" i="1"/>
  <c r="DA84" i="1"/>
  <c r="CQ84" i="1"/>
  <c r="AN68" i="1"/>
  <c r="CG17" i="1"/>
  <c r="CH17" i="1"/>
  <c r="DF17" i="1"/>
  <c r="CJ17" i="1"/>
  <c r="CV17" i="1"/>
  <c r="DA69" i="1"/>
  <c r="CO69" i="1"/>
  <c r="CY69" i="1"/>
  <c r="CX69" i="1"/>
  <c r="CQ69" i="1"/>
  <c r="CS69" i="1"/>
  <c r="CN69" i="1"/>
  <c r="DD69" i="1"/>
  <c r="CW69" i="1"/>
  <c r="CU69" i="1"/>
  <c r="CL69" i="1"/>
  <c r="CV69" i="1"/>
  <c r="CP69" i="1"/>
  <c r="CZ69" i="1"/>
  <c r="CM69" i="1"/>
  <c r="CR69" i="1"/>
  <c r="CT69" i="1"/>
  <c r="CJ27" i="1"/>
  <c r="CG27" i="1"/>
  <c r="CH27" i="1"/>
  <c r="DF27" i="1"/>
  <c r="CG9" i="1"/>
  <c r="CH9" i="1"/>
  <c r="DF9" i="1"/>
  <c r="CJ9" i="1"/>
  <c r="DA50" i="1"/>
  <c r="DG87" i="1"/>
  <c r="AQ87" i="1"/>
  <c r="CL22" i="1"/>
  <c r="CP22" i="1"/>
  <c r="CU22" i="1"/>
  <c r="CQ22" i="1"/>
  <c r="CY22" i="1"/>
  <c r="CM22" i="1"/>
  <c r="CT22" i="1"/>
  <c r="CX22" i="1"/>
  <c r="DE24" i="1"/>
  <c r="DB24" i="1"/>
  <c r="AR24" i="1"/>
  <c r="DA35" i="1"/>
  <c r="AQ89" i="1"/>
  <c r="DG89" i="1"/>
  <c r="AP15" i="1"/>
  <c r="AN15" i="1"/>
  <c r="CS77" i="1"/>
  <c r="CZ77" i="1"/>
  <c r="CX77" i="1"/>
  <c r="CT77" i="1"/>
  <c r="DA77" i="1"/>
  <c r="CL77" i="1"/>
  <c r="CM77" i="1"/>
  <c r="CY77" i="1"/>
  <c r="CP77" i="1"/>
  <c r="CN77" i="1"/>
  <c r="CU77" i="1"/>
  <c r="CO77" i="1"/>
  <c r="CW77" i="1"/>
  <c r="CQ77" i="1"/>
  <c r="CV77" i="1"/>
  <c r="AQ63" i="1"/>
  <c r="DG63" i="1"/>
  <c r="AQ83" i="1"/>
  <c r="DG83" i="1"/>
  <c r="DC88" i="1"/>
  <c r="CV89" i="1"/>
  <c r="F32" i="2"/>
  <c r="G40" i="1"/>
  <c r="H24" i="5"/>
  <c r="AJ52" i="1"/>
  <c r="AN52" i="1"/>
  <c r="AQ65" i="1"/>
  <c r="DG65" i="1"/>
  <c r="AP46" i="1"/>
  <c r="AJ17" i="1"/>
  <c r="AN17" i="1"/>
  <c r="AM12" i="1"/>
  <c r="AJ12" i="1"/>
  <c r="AN12" i="1"/>
  <c r="AP12" i="1"/>
  <c r="CN89" i="1"/>
  <c r="CW67" i="1"/>
  <c r="AP102" i="1"/>
  <c r="AM17" i="1"/>
  <c r="CM32" i="1"/>
  <c r="CT32" i="1"/>
  <c r="CY32" i="1"/>
  <c r="CX32" i="1"/>
  <c r="CL32" i="1"/>
  <c r="DB32" i="1"/>
  <c r="AR32" i="1"/>
  <c r="CU32" i="1"/>
  <c r="CW87" i="1"/>
  <c r="DA99" i="1"/>
  <c r="CX99" i="1"/>
  <c r="CU99" i="1"/>
  <c r="CP99" i="1"/>
  <c r="CQ99" i="1"/>
  <c r="CL99" i="1"/>
  <c r="DB99" i="1"/>
  <c r="AR99" i="1"/>
  <c r="CN99" i="1"/>
  <c r="DD99" i="1"/>
  <c r="CR99" i="1"/>
  <c r="CV99" i="1"/>
  <c r="CM99" i="1"/>
  <c r="CZ99" i="1"/>
  <c r="CT99" i="1"/>
  <c r="CY99" i="1"/>
  <c r="CS99" i="1"/>
  <c r="CO99" i="1"/>
  <c r="CW99" i="1"/>
  <c r="CO50" i="1"/>
  <c r="CR38" i="1"/>
  <c r="CN38" i="1"/>
  <c r="CM38" i="1"/>
  <c r="DC38" i="1"/>
  <c r="CY38" i="1"/>
  <c r="CX38" i="1"/>
  <c r="DB38" i="1"/>
  <c r="AR38" i="1"/>
  <c r="CW38" i="1"/>
  <c r="CS38" i="1"/>
  <c r="DE38" i="1"/>
  <c r="CZ38" i="1"/>
  <c r="CR57" i="1"/>
  <c r="CN57" i="1"/>
  <c r="DD57" i="1"/>
  <c r="DA57" i="1"/>
  <c r="CS57" i="1"/>
  <c r="CP57" i="1"/>
  <c r="CY57" i="1"/>
  <c r="CW57" i="1"/>
  <c r="CT57" i="1"/>
  <c r="CZ57" i="1"/>
  <c r="CO57" i="1"/>
  <c r="CM57" i="1"/>
  <c r="DC57" i="1"/>
  <c r="CQ57" i="1"/>
  <c r="CV57" i="1"/>
  <c r="CU57" i="1"/>
  <c r="CX57" i="1"/>
  <c r="CL57" i="1"/>
  <c r="DC24" i="1"/>
  <c r="CW21" i="1"/>
  <c r="CP21" i="1"/>
  <c r="DA21" i="1"/>
  <c r="CT21" i="1"/>
  <c r="CL21" i="1"/>
  <c r="DB21" i="1"/>
  <c r="AR21" i="1"/>
  <c r="CU21" i="1"/>
  <c r="CO21" i="1"/>
  <c r="CZ21" i="1"/>
  <c r="CR21" i="1"/>
  <c r="CQ21" i="1"/>
  <c r="CY21" i="1"/>
  <c r="CM21" i="1"/>
  <c r="CN21" i="1"/>
  <c r="CS21" i="1"/>
  <c r="CV21" i="1"/>
  <c r="CX21" i="1"/>
  <c r="CS35" i="1"/>
  <c r="CZ43" i="1"/>
  <c r="CV43" i="1"/>
  <c r="CU43" i="1"/>
  <c r="CW43" i="1"/>
  <c r="CL43" i="1"/>
  <c r="CP43" i="1"/>
  <c r="DA43" i="1"/>
  <c r="CN43" i="1"/>
  <c r="DD43" i="1"/>
  <c r="CM43" i="1"/>
  <c r="CS43" i="1"/>
  <c r="CX43" i="1"/>
  <c r="CO43" i="1"/>
  <c r="CY43" i="1"/>
  <c r="CR43" i="1"/>
  <c r="CQ43" i="1"/>
  <c r="CT43" i="1"/>
  <c r="CL74" i="1"/>
  <c r="CQ74" i="1"/>
  <c r="CY74" i="1"/>
  <c r="CX74" i="1"/>
  <c r="CV74" i="1"/>
  <c r="CU74" i="1"/>
  <c r="CZ74" i="1"/>
  <c r="CS74" i="1"/>
  <c r="DA74" i="1"/>
  <c r="CT74" i="1"/>
  <c r="CM74" i="1"/>
  <c r="DC74" i="1"/>
  <c r="CR74" i="1"/>
  <c r="CN74" i="1"/>
  <c r="CP74" i="1"/>
  <c r="CO74" i="1"/>
  <c r="CM35" i="1"/>
  <c r="CY65" i="1"/>
  <c r="CM65" i="1"/>
  <c r="CX65" i="1"/>
  <c r="CL65" i="1"/>
  <c r="CS65" i="1"/>
  <c r="CP65" i="1"/>
  <c r="CO65" i="1"/>
  <c r="CR65" i="1"/>
  <c r="CQ65" i="1"/>
  <c r="AQ102" i="1"/>
  <c r="DG102" i="1"/>
  <c r="CG60" i="1"/>
  <c r="CH60" i="1"/>
  <c r="DF60" i="1"/>
  <c r="CJ60" i="1"/>
  <c r="AM10" i="1"/>
  <c r="AJ10" i="1"/>
  <c r="AN10" i="1"/>
  <c r="AP10" i="1"/>
  <c r="CU65" i="1"/>
  <c r="CN16" i="1"/>
  <c r="CZ16" i="1"/>
  <c r="CV16" i="1"/>
  <c r="CS16" i="1"/>
  <c r="CW16" i="1"/>
  <c r="CO16" i="1"/>
  <c r="DA16" i="1"/>
  <c r="CR16" i="1"/>
  <c r="CS50" i="1"/>
  <c r="CT101" i="1"/>
  <c r="DG44" i="1"/>
  <c r="AQ44" i="1"/>
  <c r="DD39" i="1"/>
  <c r="C68" i="2"/>
  <c r="G65" i="1"/>
  <c r="C53" i="5"/>
  <c r="CR35" i="1"/>
  <c r="AN27" i="1"/>
  <c r="AP27" i="1"/>
  <c r="AN25" i="1"/>
  <c r="AP25" i="1"/>
  <c r="AN28" i="1"/>
  <c r="AP28" i="1"/>
  <c r="DG101" i="1"/>
  <c r="AQ101" i="1"/>
  <c r="G16" i="1"/>
  <c r="C32" i="2"/>
  <c r="C24" i="5"/>
  <c r="DE10" i="1"/>
  <c r="DB89" i="1"/>
  <c r="AR89" i="1"/>
  <c r="DB50" i="1"/>
  <c r="AR50" i="1"/>
  <c r="DC8" i="1"/>
  <c r="AP17" i="1"/>
  <c r="DB8" i="1"/>
  <c r="AR8" i="1"/>
  <c r="DD72" i="1"/>
  <c r="DE72" i="1"/>
  <c r="DB57" i="1"/>
  <c r="AR57" i="1"/>
  <c r="H15" i="5"/>
  <c r="H14" i="5"/>
  <c r="H20" i="5"/>
  <c r="H17" i="5"/>
  <c r="H18" i="5"/>
  <c r="H16" i="5"/>
  <c r="J4" i="5"/>
  <c r="H19" i="5"/>
  <c r="DD84" i="1"/>
  <c r="AP62" i="1"/>
  <c r="DE85" i="1"/>
  <c r="DD52" i="1"/>
  <c r="DD93" i="1"/>
  <c r="DE44" i="1"/>
  <c r="DC26" i="1"/>
  <c r="DD103" i="1"/>
  <c r="DB43" i="1"/>
  <c r="AR43" i="1"/>
  <c r="DB87" i="1"/>
  <c r="AR87" i="1"/>
  <c r="DD18" i="1"/>
  <c r="DD83" i="1"/>
  <c r="AQ62" i="1"/>
  <c r="DG62" i="1"/>
  <c r="DD19" i="1"/>
  <c r="DE66" i="1"/>
  <c r="DD22" i="1"/>
  <c r="DD26" i="1"/>
  <c r="DC50" i="1"/>
  <c r="AQ69" i="1"/>
  <c r="DG69" i="1"/>
  <c r="DG19" i="1"/>
  <c r="AQ19" i="1"/>
  <c r="DC84" i="1"/>
  <c r="DC52" i="1"/>
  <c r="CY9" i="1"/>
  <c r="CU9" i="1"/>
  <c r="CT9" i="1"/>
  <c r="CL9" i="1"/>
  <c r="DB9" i="1"/>
  <c r="AR9" i="1"/>
  <c r="CV9" i="1"/>
  <c r="CQ9" i="1"/>
  <c r="CM9" i="1"/>
  <c r="DC9" i="1"/>
  <c r="CP9" i="1"/>
  <c r="CX9" i="1"/>
  <c r="CZ9" i="1"/>
  <c r="CN9" i="1"/>
  <c r="CO9" i="1"/>
  <c r="CW9" i="1"/>
  <c r="DA9" i="1"/>
  <c r="CS9" i="1"/>
  <c r="CR9" i="1"/>
  <c r="DD38" i="1"/>
  <c r="CX100" i="1"/>
  <c r="CW100" i="1"/>
  <c r="DA100" i="1"/>
  <c r="CZ100" i="1"/>
  <c r="CT100" i="1"/>
  <c r="CY100" i="1"/>
  <c r="CN100" i="1"/>
  <c r="DD100" i="1"/>
  <c r="CO100" i="1"/>
  <c r="CL100" i="1"/>
  <c r="DB100" i="1"/>
  <c r="AR100" i="1"/>
  <c r="CS100" i="1"/>
  <c r="CQ100" i="1"/>
  <c r="CM100" i="1"/>
  <c r="CP100" i="1"/>
  <c r="CU100" i="1"/>
  <c r="CV100" i="1"/>
  <c r="CR100" i="1"/>
  <c r="DC87" i="1"/>
  <c r="DB85" i="1"/>
  <c r="AR85" i="1"/>
  <c r="AP52" i="1"/>
  <c r="DC78" i="1"/>
  <c r="DD8" i="1"/>
  <c r="AP73" i="1"/>
  <c r="DD44" i="1"/>
  <c r="DB22" i="1"/>
  <c r="AR22" i="1"/>
  <c r="DC102" i="1"/>
  <c r="DC93" i="1"/>
  <c r="C49" i="5"/>
  <c r="C45" i="5"/>
  <c r="C46" i="5"/>
  <c r="C43" i="5"/>
  <c r="C47" i="5"/>
  <c r="C48" i="5"/>
  <c r="E33" i="5"/>
  <c r="C44" i="5"/>
  <c r="DE69" i="1"/>
  <c r="CP17" i="1"/>
  <c r="CU17" i="1"/>
  <c r="CX17" i="1"/>
  <c r="CY17" i="1"/>
  <c r="CL17" i="1"/>
  <c r="CQ17" i="1"/>
  <c r="CT17" i="1"/>
  <c r="CM17" i="1"/>
  <c r="DE65" i="1"/>
  <c r="AQ15" i="1"/>
  <c r="DG15" i="1"/>
  <c r="AQ68" i="1"/>
  <c r="DG68" i="1"/>
  <c r="DE52" i="1"/>
  <c r="DG24" i="1"/>
  <c r="AQ24" i="1"/>
  <c r="DE83" i="1"/>
  <c r="DB71" i="1"/>
  <c r="AR71" i="1"/>
  <c r="DC89" i="1"/>
  <c r="DD94" i="1"/>
  <c r="AQ73" i="1"/>
  <c r="DG73" i="1"/>
  <c r="DB35" i="1"/>
  <c r="AR35" i="1"/>
  <c r="DC61" i="1"/>
  <c r="G69" i="1"/>
  <c r="C61" i="2"/>
  <c r="AQ52" i="1"/>
  <c r="DG52" i="1"/>
  <c r="DE17" i="1"/>
  <c r="DD87" i="1"/>
  <c r="AQ9" i="1"/>
  <c r="DG9" i="1"/>
  <c r="DE50" i="1"/>
  <c r="DA27" i="1"/>
  <c r="CP27" i="1"/>
  <c r="CT27" i="1"/>
  <c r="CS27" i="1"/>
  <c r="CU27" i="1"/>
  <c r="CZ27" i="1"/>
  <c r="CV27" i="1"/>
  <c r="CL27" i="1"/>
  <c r="CO27" i="1"/>
  <c r="CR27" i="1"/>
  <c r="CQ27" i="1"/>
  <c r="CX27" i="1"/>
  <c r="CM27" i="1"/>
  <c r="DC27" i="1"/>
  <c r="CY27" i="1"/>
  <c r="CN27" i="1"/>
  <c r="CW27" i="1"/>
  <c r="G90" i="1"/>
  <c r="H53" i="5"/>
  <c r="F68" i="2"/>
  <c r="DB83" i="1"/>
  <c r="AR83" i="1"/>
  <c r="AN32" i="1"/>
  <c r="AP32" i="1"/>
  <c r="DB25" i="1"/>
  <c r="AR25" i="1"/>
  <c r="DB94" i="1"/>
  <c r="AR94" i="1"/>
  <c r="DE103" i="1"/>
  <c r="DD10" i="1"/>
  <c r="DC103" i="1"/>
  <c r="DB65" i="1"/>
  <c r="AR65" i="1"/>
  <c r="DD21" i="1"/>
  <c r="DE57" i="1"/>
  <c r="DE99" i="1"/>
  <c r="DE45" i="1"/>
  <c r="DE28" i="1"/>
  <c r="DE23" i="1"/>
  <c r="DD102" i="1"/>
  <c r="DE22" i="1"/>
  <c r="DE26" i="1"/>
  <c r="DB10" i="1"/>
  <c r="AR10" i="1"/>
  <c r="DG58" i="1"/>
  <c r="AQ58" i="1"/>
  <c r="AQ21" i="1"/>
  <c r="DG21" i="1"/>
  <c r="DB77" i="1"/>
  <c r="AR77" i="1"/>
  <c r="DE76" i="1"/>
  <c r="DC21" i="1"/>
  <c r="AN33" i="1"/>
  <c r="AP33" i="1"/>
  <c r="CT20" i="1"/>
  <c r="CX20" i="1"/>
  <c r="CZ20" i="1"/>
  <c r="CS20" i="1"/>
  <c r="CU20" i="1"/>
  <c r="CY20" i="1"/>
  <c r="CW20" i="1"/>
  <c r="CO20" i="1"/>
  <c r="CN20" i="1"/>
  <c r="CP20" i="1"/>
  <c r="CR20" i="1"/>
  <c r="CV20" i="1"/>
  <c r="CQ20" i="1"/>
  <c r="CL20" i="1"/>
  <c r="DB20" i="1"/>
  <c r="AR20" i="1"/>
  <c r="DA20" i="1"/>
  <c r="CM20" i="1"/>
  <c r="DC20" i="1"/>
  <c r="DC76" i="1"/>
  <c r="AQ43" i="1"/>
  <c r="DG43" i="1"/>
  <c r="AQ50" i="1"/>
  <c r="DG50" i="1"/>
  <c r="AQ51" i="1"/>
  <c r="DG51" i="1"/>
  <c r="DC32" i="1"/>
  <c r="DC69" i="1"/>
  <c r="DE16" i="1"/>
  <c r="G18" i="1"/>
  <c r="C23" i="2"/>
  <c r="DC65" i="1"/>
  <c r="DB45" i="1"/>
  <c r="AR45" i="1"/>
  <c r="DB58" i="1"/>
  <c r="AR58" i="1"/>
  <c r="DD28" i="1"/>
  <c r="AP93" i="1"/>
  <c r="AN93" i="1"/>
  <c r="DB76" i="1"/>
  <c r="AR76" i="1"/>
  <c r="DD45" i="1"/>
  <c r="AQ42" i="1"/>
  <c r="DG42" i="1"/>
  <c r="DB53" i="1"/>
  <c r="DB72" i="1"/>
  <c r="AR72" i="1"/>
  <c r="AQ17" i="1"/>
  <c r="DG17" i="1"/>
  <c r="DC77" i="1"/>
  <c r="CL60" i="1"/>
  <c r="CR60" i="1"/>
  <c r="CY60" i="1"/>
  <c r="CZ60" i="1"/>
  <c r="CT60" i="1"/>
  <c r="CN60" i="1"/>
  <c r="CU60" i="1"/>
  <c r="CP60" i="1"/>
  <c r="CO60" i="1"/>
  <c r="CM60" i="1"/>
  <c r="CQ60" i="1"/>
  <c r="CV60" i="1"/>
  <c r="DA60" i="1"/>
  <c r="CX60" i="1"/>
  <c r="CS60" i="1"/>
  <c r="CW60" i="1"/>
  <c r="DG48" i="1"/>
  <c r="AQ48" i="1"/>
  <c r="DE84" i="1"/>
  <c r="DB93" i="1"/>
  <c r="AR93" i="1"/>
  <c r="DB44" i="1"/>
  <c r="AR44" i="1"/>
  <c r="AP49" i="1"/>
  <c r="DB96" i="1"/>
  <c r="AR96" i="1"/>
  <c r="AQ22" i="1"/>
  <c r="DG22" i="1"/>
  <c r="DC58" i="1"/>
  <c r="DB23" i="1"/>
  <c r="AR23" i="1"/>
  <c r="AP9" i="1"/>
  <c r="DG45" i="1"/>
  <c r="AQ45" i="1"/>
  <c r="AQ49" i="1"/>
  <c r="DG49" i="1"/>
  <c r="DD53" i="1"/>
  <c r="DE96" i="1"/>
  <c r="DD89" i="1"/>
  <c r="DB69" i="1"/>
  <c r="AR69" i="1"/>
  <c r="DB84" i="1"/>
  <c r="AR84" i="1"/>
  <c r="DD32" i="1"/>
  <c r="DC83" i="1"/>
  <c r="DE93" i="1"/>
  <c r="DB61" i="1"/>
  <c r="DE18" i="1"/>
  <c r="DC94" i="1"/>
  <c r="DC47" i="1"/>
  <c r="AQ10" i="1"/>
  <c r="DG10" i="1"/>
  <c r="AP51" i="1"/>
  <c r="DB74" i="1"/>
  <c r="AR74" i="1"/>
  <c r="DC35" i="1"/>
  <c r="DC99" i="1"/>
  <c r="DE21" i="1"/>
  <c r="DC22" i="1"/>
  <c r="DC85" i="1"/>
  <c r="DD61" i="1"/>
  <c r="G68" i="1"/>
  <c r="C60" i="2"/>
  <c r="DC44" i="1"/>
  <c r="DE67" i="1"/>
  <c r="DC101" i="1"/>
  <c r="DE88" i="1"/>
  <c r="AQ47" i="1"/>
  <c r="DG47" i="1"/>
  <c r="DE37" i="1"/>
  <c r="DD96" i="1"/>
  <c r="DB47" i="1"/>
  <c r="AR47" i="1"/>
  <c r="DG57" i="1"/>
  <c r="AQ57" i="1"/>
  <c r="DC19" i="1"/>
  <c r="DE43" i="1"/>
  <c r="DE74" i="1"/>
  <c r="DE77" i="1"/>
  <c r="DD74" i="1"/>
  <c r="DC43" i="1"/>
  <c r="AQ12" i="1"/>
  <c r="DG12" i="1"/>
  <c r="DD77" i="1"/>
  <c r="CZ17" i="1"/>
  <c r="DD58" i="1"/>
  <c r="AQ20" i="1"/>
  <c r="DG20" i="1"/>
  <c r="DB88" i="1"/>
  <c r="AR88" i="1"/>
  <c r="DD59" i="1"/>
  <c r="DC72" i="1"/>
  <c r="DE47" i="1"/>
  <c r="DG32" i="1"/>
  <c r="AQ32" i="1"/>
  <c r="DC60" i="1"/>
  <c r="AQ93" i="1"/>
  <c r="DG93" i="1"/>
  <c r="DE60" i="1"/>
  <c r="J33" i="5"/>
  <c r="H44" i="5"/>
  <c r="H45" i="5"/>
  <c r="H46" i="5"/>
  <c r="H47" i="5"/>
  <c r="H43" i="5"/>
  <c r="H48" i="5"/>
  <c r="H49" i="5"/>
  <c r="DD20" i="1"/>
  <c r="DE20" i="1"/>
  <c r="DD27" i="1"/>
  <c r="DD60" i="1"/>
  <c r="C14" i="5"/>
  <c r="C18" i="5"/>
  <c r="C20" i="5"/>
  <c r="E4" i="5"/>
  <c r="C17" i="5"/>
  <c r="C15" i="5"/>
  <c r="C19" i="5"/>
  <c r="C16" i="5"/>
  <c r="G73" i="1"/>
  <c r="C69" i="2"/>
  <c r="AR61" i="1"/>
  <c r="G64" i="1"/>
  <c r="E53" i="5"/>
  <c r="DB60" i="1"/>
  <c r="AR60" i="1"/>
  <c r="DE27" i="1"/>
  <c r="DE9" i="1"/>
  <c r="AQ28" i="1"/>
  <c r="DG28" i="1"/>
  <c r="DB27" i="1"/>
  <c r="AR27" i="1"/>
  <c r="DD9" i="1"/>
  <c r="DG25" i="1"/>
  <c r="AQ25" i="1"/>
  <c r="DE100" i="1"/>
  <c r="DG33" i="1"/>
  <c r="AQ33" i="1"/>
  <c r="DC100" i="1"/>
  <c r="DG27" i="1"/>
  <c r="AQ27" i="1"/>
</calcChain>
</file>

<file path=xl/sharedStrings.xml><?xml version="1.0" encoding="utf-8"?>
<sst xmlns="http://schemas.openxmlformats.org/spreadsheetml/2006/main" count="1256" uniqueCount="168">
  <si>
    <t>***</t>
  </si>
  <si>
    <t>◄A</t>
  </si>
  <si>
    <t>**</t>
  </si>
  <si>
    <t>◄B</t>
  </si>
  <si>
    <t>*</t>
  </si>
  <si>
    <t>◄C</t>
  </si>
  <si>
    <t>◄D</t>
  </si>
  <si>
    <t>◄E</t>
  </si>
  <si>
    <t>◄F</t>
  </si>
  <si>
    <t>◄G</t>
  </si>
  <si>
    <t>DADES EMPRESA</t>
  </si>
  <si>
    <t>NOM</t>
  </si>
  <si>
    <t>INNALTECH</t>
  </si>
  <si>
    <t>ADREÇA</t>
  </si>
  <si>
    <t>CARRER</t>
  </si>
  <si>
    <t>CODI POSTAL</t>
  </si>
  <si>
    <t>XXXXXX</t>
  </si>
  <si>
    <t>MUNICIPI</t>
  </si>
  <si>
    <t>SALLENT</t>
  </si>
  <si>
    <t>PROVINCIA</t>
  </si>
  <si>
    <t>BARCELONA</t>
  </si>
  <si>
    <t>SI</t>
  </si>
  <si>
    <t>BE</t>
  </si>
  <si>
    <t>NO</t>
  </si>
  <si>
    <t>N</t>
  </si>
  <si>
    <t>SEL</t>
  </si>
  <si>
    <t>SEL PLUS</t>
  </si>
  <si>
    <t>NORMAL</t>
  </si>
  <si>
    <t>FOAM</t>
  </si>
  <si>
    <t>cte</t>
  </si>
  <si>
    <t>ASSAIG 1</t>
  </si>
  <si>
    <t>ASSAIG 2</t>
  </si>
  <si>
    <t>ASSAIG 3</t>
  </si>
  <si>
    <t>ASSAIG 4</t>
  </si>
  <si>
    <t>SO</t>
  </si>
  <si>
    <t>RESULTAT</t>
  </si>
  <si>
    <t>CARACTERÍSTIQUES FINESTRA 1</t>
  </si>
  <si>
    <t>3 SIMETRIQUES</t>
  </si>
  <si>
    <t>Fulles</t>
  </si>
  <si>
    <t>nus1</t>
  </si>
  <si>
    <t>nus2</t>
  </si>
  <si>
    <t>RPT</t>
  </si>
  <si>
    <t>vidre</t>
  </si>
  <si>
    <t>L</t>
  </si>
  <si>
    <t>H</t>
  </si>
  <si>
    <t>At</t>
  </si>
  <si>
    <t>Lmarc</t>
  </si>
  <si>
    <t>Lnus1</t>
  </si>
  <si>
    <t>Lnus2</t>
  </si>
  <si>
    <t>Ug</t>
  </si>
  <si>
    <t>Um</t>
  </si>
  <si>
    <t>Unus1</t>
  </si>
  <si>
    <t>Unus2</t>
  </si>
  <si>
    <t>Av</t>
  </si>
  <si>
    <t>Am</t>
  </si>
  <si>
    <t>Anus1</t>
  </si>
  <si>
    <t>Anus2</t>
  </si>
  <si>
    <t>Uw</t>
  </si>
  <si>
    <t>Ψ</t>
  </si>
  <si>
    <t>Permeabilitat aire</t>
  </si>
  <si>
    <t>FULL</t>
  </si>
  <si>
    <t>AT</t>
  </si>
  <si>
    <t>AIRE</t>
  </si>
  <si>
    <t>AIGUA</t>
  </si>
  <si>
    <t>VENT</t>
  </si>
  <si>
    <t>DB1</t>
  </si>
  <si>
    <t>V1</t>
  </si>
  <si>
    <t>DB2</t>
  </si>
  <si>
    <t>V2</t>
  </si>
  <si>
    <t>%</t>
  </si>
  <si>
    <t>A</t>
  </si>
  <si>
    <t>AIR</t>
  </si>
  <si>
    <t>AIG</t>
  </si>
  <si>
    <t>V</t>
  </si>
  <si>
    <t>TERMIC</t>
  </si>
  <si>
    <t>SERIE</t>
  </si>
  <si>
    <t>PRACTIC HO 70 RPT</t>
  </si>
  <si>
    <t>VIDRE</t>
  </si>
  <si>
    <t>3 ASIMETRIQUES</t>
  </si>
  <si>
    <t>PRACTIC40</t>
  </si>
  <si>
    <t>E1350</t>
  </si>
  <si>
    <t>C</t>
  </si>
  <si>
    <t>7A</t>
  </si>
  <si>
    <t>COLOR</t>
  </si>
  <si>
    <t>SG8019</t>
  </si>
  <si>
    <t>4+4 Silence/18/6 Guardian Sun</t>
  </si>
  <si>
    <t>4 SIMETRIQUES</t>
  </si>
  <si>
    <t>ALFIL45</t>
  </si>
  <si>
    <t>9A</t>
  </si>
  <si>
    <t>FULLES (1,2,3 o 4)</t>
  </si>
  <si>
    <t>Fs</t>
  </si>
  <si>
    <t>4 ASIMETRIQUES</t>
  </si>
  <si>
    <t>PRACTIC 45 RPT</t>
  </si>
  <si>
    <t>6A</t>
  </si>
  <si>
    <t>E1050</t>
  </si>
  <si>
    <t>8A</t>
  </si>
  <si>
    <t>OSCIL·LOBATENT (SI o NO)</t>
  </si>
  <si>
    <t>dB</t>
  </si>
  <si>
    <t>PRACTIC 54 RPT</t>
  </si>
  <si>
    <t>E900</t>
  </si>
  <si>
    <t>E1200</t>
  </si>
  <si>
    <t>FOAM SYSTEM (SI o NO)</t>
  </si>
  <si>
    <t>PRACTIC 65 RPT</t>
  </si>
  <si>
    <t>E1500</t>
  </si>
  <si>
    <t>LONGITUT (mm)</t>
  </si>
  <si>
    <t>PRACTIC 65 RPT C16</t>
  </si>
  <si>
    <t>ALÇADA (mm)</t>
  </si>
  <si>
    <t>PRACTIC 80 RPT</t>
  </si>
  <si>
    <t>Perm aire</t>
  </si>
  <si>
    <t>PRACTIC HO 60 RPT</t>
  </si>
  <si>
    <t>Class hivern</t>
  </si>
  <si>
    <t>Class estiu</t>
  </si>
  <si>
    <t>ALFIL 45 RPT</t>
  </si>
  <si>
    <t>vent</t>
  </si>
  <si>
    <t>FULLES</t>
  </si>
  <si>
    <t>ALFIL 54 RPT</t>
  </si>
  <si>
    <t>CARACTERÍSTIQUES VIDRE 1</t>
  </si>
  <si>
    <t>EXCEL</t>
  </si>
  <si>
    <t>aigua</t>
  </si>
  <si>
    <t>MAGNA</t>
  </si>
  <si>
    <t>Ug (W/m2k)</t>
  </si>
  <si>
    <t>seguretat</t>
  </si>
  <si>
    <t>NEXUS 60</t>
  </si>
  <si>
    <t>ATENUACIÓ ACÚSTICA</t>
  </si>
  <si>
    <t>so</t>
  </si>
  <si>
    <t>NEXUS 70</t>
  </si>
  <si>
    <t>4A</t>
  </si>
  <si>
    <t>termic</t>
  </si>
  <si>
    <t>NEXUS 70 RPTPLUS</t>
  </si>
  <si>
    <t>5A</t>
  </si>
  <si>
    <t>B</t>
  </si>
  <si>
    <t>aire</t>
  </si>
  <si>
    <t>NEXUS 95 RPT</t>
  </si>
  <si>
    <t>2A</t>
  </si>
  <si>
    <t>3A</t>
  </si>
  <si>
    <t>REF</t>
  </si>
  <si>
    <t>NEXUS 95 PANORAMICA</t>
  </si>
  <si>
    <t>NEXUS 100 RPT</t>
  </si>
  <si>
    <t>NEXUS 110 RPT</t>
  </si>
  <si>
    <t>NEXUS 145 RPT</t>
  </si>
  <si>
    <t>CARACTERÍSTIQUES FINESTRA 2</t>
  </si>
  <si>
    <t>CARACTERÍSTIQUES VIDRE 2</t>
  </si>
  <si>
    <t>CARACTERÍSTIQUES FINESTRA 3</t>
  </si>
  <si>
    <t>CARACTERÍSTIQUES VIDRE 3</t>
  </si>
  <si>
    <t>CARACTERÍSTIQUES FINESTRA 4</t>
  </si>
  <si>
    <t>CARACTERÍSTIQUES VIDRE 4</t>
  </si>
  <si>
    <t>Eficiència energètica</t>
  </si>
  <si>
    <t>de la finestra</t>
  </si>
  <si>
    <t>Hivern</t>
  </si>
  <si>
    <t>Estiu</t>
  </si>
  <si>
    <t>Més eficient</t>
  </si>
  <si>
    <t>Menys eficient</t>
  </si>
  <si>
    <t>Fitxa tècnica de la finestra</t>
  </si>
  <si>
    <t>Factor solar de l'acristalament</t>
  </si>
  <si>
    <t>Transmitància tèrmica de la finestra (W/m2K)</t>
  </si>
  <si>
    <t>Permeabilitat a l'aire de la finestra</t>
  </si>
  <si>
    <t>EN 14351-1</t>
  </si>
  <si>
    <t>Resistència a la càrrega del vent, pressió d'assaig</t>
  </si>
  <si>
    <t>Resistència a la càrrega del vent, fletxa del marc</t>
  </si>
  <si>
    <t>Estanquitat a l'aigua (sense apantallar)</t>
  </si>
  <si>
    <t>Estanquitat a l'aigua (apantallat)</t>
  </si>
  <si>
    <t>NPD</t>
  </si>
  <si>
    <t>Substàncies perilloses</t>
  </si>
  <si>
    <t>Capacitat per soportar càrregues dels dispositius</t>
  </si>
  <si>
    <t>de seguretat</t>
  </si>
  <si>
    <t>Prestació acústica, atenuació de soroll</t>
  </si>
  <si>
    <t>Transmitància tèrmica</t>
  </si>
  <si>
    <t>Permeabilitat a l'aire, pressió màxima d'assaig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</si>
</sst>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4">
    <font>
      <sz val="10"/>
      <name val="Arial"/>
    </font>
    <font>
      <sz val="10"/>
      <name val="Arial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6" fillId="0" borderId="0"/>
  </cellStyleXfs>
  <cellXfs count="25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left"/>
    </xf>
    <xf numFmtId="2" fontId="2" fillId="0" borderId="0" xfId="0" applyNumberFormat="1" applyFont="1" applyAlignment="1">
      <alignment horizontal="center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2" fontId="0" fillId="0" borderId="0" xfId="0" applyNumberFormat="1"/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" fontId="2" fillId="2" borderId="21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1" fontId="2" fillId="2" borderId="22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2" fontId="2" fillId="4" borderId="22" xfId="0" applyNumberFormat="1" applyFont="1" applyFill="1" applyBorder="1" applyAlignment="1">
      <alignment horizontal="center"/>
    </xf>
    <xf numFmtId="1" fontId="2" fillId="2" borderId="23" xfId="0" applyNumberFormat="1" applyFont="1" applyFill="1" applyBorder="1" applyAlignment="1">
      <alignment horizontal="center"/>
    </xf>
    <xf numFmtId="1" fontId="2" fillId="2" borderId="24" xfId="0" applyNumberFormat="1" applyFont="1" applyFill="1" applyBorder="1" applyAlignment="1">
      <alignment horizontal="center"/>
    </xf>
    <xf numFmtId="1" fontId="2" fillId="2" borderId="25" xfId="0" applyNumberFormat="1" applyFont="1" applyFill="1" applyBorder="1" applyAlignment="1">
      <alignment horizontal="center"/>
    </xf>
    <xf numFmtId="1" fontId="2" fillId="2" borderId="26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2" fontId="2" fillId="4" borderId="26" xfId="0" applyNumberFormat="1" applyFont="1" applyFill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164" fontId="2" fillId="2" borderId="22" xfId="0" applyNumberFormat="1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" fontId="2" fillId="2" borderId="28" xfId="0" applyNumberFormat="1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" fontId="2" fillId="0" borderId="35" xfId="0" applyNumberFormat="1" applyFont="1" applyBorder="1" applyAlignment="1">
      <alignment horizontal="center"/>
    </xf>
    <xf numFmtId="1" fontId="2" fillId="0" borderId="36" xfId="0" applyNumberFormat="1" applyFont="1" applyBorder="1" applyAlignment="1">
      <alignment horizontal="center"/>
    </xf>
    <xf numFmtId="2" fontId="2" fillId="0" borderId="35" xfId="0" applyNumberFormat="1" applyFont="1" applyBorder="1" applyAlignment="1">
      <alignment horizontal="center"/>
    </xf>
    <xf numFmtId="2" fontId="2" fillId="0" borderId="36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3" borderId="16" xfId="0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1" fillId="0" borderId="0" xfId="0" applyFont="1"/>
    <xf numFmtId="0" fontId="4" fillId="0" borderId="8" xfId="0" applyFont="1" applyBorder="1"/>
    <xf numFmtId="0" fontId="4" fillId="0" borderId="42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0" fontId="2" fillId="4" borderId="43" xfId="0" applyFont="1" applyFill="1" applyBorder="1" applyAlignment="1">
      <alignment horizontal="center"/>
    </xf>
    <xf numFmtId="0" fontId="2" fillId="4" borderId="44" xfId="0" applyFont="1" applyFill="1" applyBorder="1" applyAlignment="1">
      <alignment horizontal="center"/>
    </xf>
    <xf numFmtId="0" fontId="2" fillId="4" borderId="45" xfId="0" applyFont="1" applyFill="1" applyBorder="1" applyAlignment="1">
      <alignment horizontal="center"/>
    </xf>
    <xf numFmtId="165" fontId="2" fillId="3" borderId="46" xfId="0" applyNumberFormat="1" applyFont="1" applyFill="1" applyBorder="1" applyAlignment="1">
      <alignment horizontal="center"/>
    </xf>
    <xf numFmtId="2" fontId="2" fillId="3" borderId="47" xfId="0" applyNumberFormat="1" applyFont="1" applyFill="1" applyBorder="1" applyAlignment="1">
      <alignment horizontal="center"/>
    </xf>
    <xf numFmtId="165" fontId="2" fillId="2" borderId="21" xfId="0" applyNumberFormat="1" applyFont="1" applyFill="1" applyBorder="1" applyAlignment="1">
      <alignment horizontal="center"/>
    </xf>
    <xf numFmtId="165" fontId="2" fillId="2" borderId="22" xfId="0" applyNumberFormat="1" applyFont="1" applyFill="1" applyBorder="1" applyAlignment="1">
      <alignment horizontal="center"/>
    </xf>
    <xf numFmtId="165" fontId="2" fillId="2" borderId="26" xfId="0" applyNumberFormat="1" applyFont="1" applyFill="1" applyBorder="1" applyAlignment="1">
      <alignment horizontal="center"/>
    </xf>
    <xf numFmtId="1" fontId="2" fillId="0" borderId="0" xfId="0" applyNumberFormat="1" applyFont="1" applyAlignment="1" applyProtection="1">
      <alignment horizontal="center"/>
      <protection locked="0"/>
    </xf>
    <xf numFmtId="165" fontId="2" fillId="3" borderId="36" xfId="0" applyNumberFormat="1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0" borderId="51" xfId="0" applyFont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52" xfId="0" applyNumberFormat="1" applyFont="1" applyFill="1" applyBorder="1" applyAlignment="1">
      <alignment horizontal="center"/>
    </xf>
    <xf numFmtId="164" fontId="2" fillId="2" borderId="24" xfId="0" applyNumberFormat="1" applyFont="1" applyFill="1" applyBorder="1" applyAlignment="1">
      <alignment horizontal="center"/>
    </xf>
    <xf numFmtId="164" fontId="2" fillId="2" borderId="53" xfId="0" applyNumberFormat="1" applyFont="1" applyFill="1" applyBorder="1" applyAlignment="1">
      <alignment horizontal="center"/>
    </xf>
    <xf numFmtId="164" fontId="2" fillId="2" borderId="54" xfId="0" applyNumberFormat="1" applyFont="1" applyFill="1" applyBorder="1" applyAlignment="1">
      <alignment horizontal="center"/>
    </xf>
    <xf numFmtId="164" fontId="2" fillId="2" borderId="31" xfId="0" applyNumberFormat="1" applyFont="1" applyFill="1" applyBorder="1" applyAlignment="1">
      <alignment horizontal="center"/>
    </xf>
    <xf numFmtId="164" fontId="2" fillId="2" borderId="55" xfId="0" applyNumberFormat="1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/>
    </xf>
    <xf numFmtId="164" fontId="2" fillId="2" borderId="56" xfId="0" applyNumberFormat="1" applyFont="1" applyFill="1" applyBorder="1" applyAlignment="1">
      <alignment horizontal="center"/>
    </xf>
    <xf numFmtId="0" fontId="2" fillId="4" borderId="57" xfId="0" applyFont="1" applyFill="1" applyBorder="1"/>
    <xf numFmtId="0" fontId="2" fillId="2" borderId="58" xfId="0" applyFont="1" applyFill="1" applyBorder="1" applyAlignment="1">
      <alignment horizontal="center"/>
    </xf>
    <xf numFmtId="0" fontId="2" fillId="2" borderId="59" xfId="0" applyFont="1" applyFill="1" applyBorder="1" applyAlignment="1">
      <alignment horizontal="center"/>
    </xf>
    <xf numFmtId="164" fontId="2" fillId="2" borderId="60" xfId="0" applyNumberFormat="1" applyFont="1" applyFill="1" applyBorder="1" applyAlignment="1">
      <alignment horizontal="center"/>
    </xf>
    <xf numFmtId="164" fontId="2" fillId="2" borderId="58" xfId="0" applyNumberFormat="1" applyFont="1" applyFill="1" applyBorder="1" applyAlignment="1">
      <alignment horizontal="center"/>
    </xf>
    <xf numFmtId="164" fontId="2" fillId="2" borderId="61" xfId="0" applyNumberFormat="1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/>
    </xf>
    <xf numFmtId="0" fontId="2" fillId="4" borderId="0" xfId="0" applyFont="1" applyFill="1" applyAlignment="1">
      <alignment horizontal="left"/>
    </xf>
    <xf numFmtId="1" fontId="2" fillId="2" borderId="0" xfId="0" applyNumberFormat="1" applyFont="1" applyFill="1" applyAlignment="1" applyProtection="1">
      <alignment horizontal="center"/>
      <protection locked="0"/>
    </xf>
    <xf numFmtId="0" fontId="2" fillId="5" borderId="8" xfId="0" applyFont="1" applyFill="1" applyBorder="1" applyAlignment="1">
      <alignment horizontal="center"/>
    </xf>
    <xf numFmtId="0" fontId="2" fillId="2" borderId="42" xfId="0" applyFont="1" applyFill="1" applyBorder="1" applyAlignment="1" applyProtection="1">
      <alignment horizontal="center"/>
      <protection locked="0"/>
    </xf>
    <xf numFmtId="0" fontId="2" fillId="5" borderId="4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/>
      <protection locked="0"/>
    </xf>
    <xf numFmtId="1" fontId="2" fillId="2" borderId="63" xfId="0" applyNumberFormat="1" applyFont="1" applyFill="1" applyBorder="1" applyAlignment="1">
      <alignment horizontal="center"/>
    </xf>
    <xf numFmtId="1" fontId="2" fillId="2" borderId="64" xfId="0" applyNumberFormat="1" applyFont="1" applyFill="1" applyBorder="1" applyAlignment="1">
      <alignment horizontal="center"/>
    </xf>
    <xf numFmtId="0" fontId="2" fillId="2" borderId="64" xfId="0" applyFont="1" applyFill="1" applyBorder="1" applyAlignment="1">
      <alignment horizontal="center"/>
    </xf>
    <xf numFmtId="165" fontId="2" fillId="2" borderId="64" xfId="0" applyNumberFormat="1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164" fontId="2" fillId="2" borderId="63" xfId="0" applyNumberFormat="1" applyFont="1" applyFill="1" applyBorder="1" applyAlignment="1">
      <alignment horizontal="center"/>
    </xf>
    <xf numFmtId="164" fontId="2" fillId="2" borderId="64" xfId="0" applyNumberFormat="1" applyFont="1" applyFill="1" applyBorder="1" applyAlignment="1">
      <alignment horizontal="center"/>
    </xf>
    <xf numFmtId="164" fontId="2" fillId="2" borderId="66" xfId="0" applyNumberFormat="1" applyFont="1" applyFill="1" applyBorder="1" applyAlignment="1">
      <alignment horizontal="center"/>
    </xf>
    <xf numFmtId="0" fontId="2" fillId="2" borderId="67" xfId="0" applyFont="1" applyFill="1" applyBorder="1" applyAlignment="1">
      <alignment horizontal="center"/>
    </xf>
    <xf numFmtId="0" fontId="2" fillId="4" borderId="64" xfId="0" applyFont="1" applyFill="1" applyBorder="1" applyAlignment="1">
      <alignment horizontal="center"/>
    </xf>
    <xf numFmtId="2" fontId="2" fillId="4" borderId="64" xfId="0" applyNumberFormat="1" applyFont="1" applyFill="1" applyBorder="1" applyAlignment="1">
      <alignment horizontal="center"/>
    </xf>
    <xf numFmtId="0" fontId="2" fillId="4" borderId="65" xfId="0" applyFont="1" applyFill="1" applyBorder="1" applyAlignment="1">
      <alignment horizontal="center"/>
    </xf>
    <xf numFmtId="165" fontId="2" fillId="3" borderId="68" xfId="0" applyNumberFormat="1" applyFont="1" applyFill="1" applyBorder="1" applyAlignment="1">
      <alignment horizontal="center"/>
    </xf>
    <xf numFmtId="0" fontId="2" fillId="5" borderId="69" xfId="0" applyFont="1" applyFill="1" applyBorder="1" applyAlignment="1">
      <alignment horizontal="center"/>
    </xf>
    <xf numFmtId="0" fontId="6" fillId="2" borderId="16" xfId="0" applyFont="1" applyFill="1" applyBorder="1" applyAlignment="1" applyProtection="1">
      <alignment horizontal="left"/>
      <protection locked="0"/>
    </xf>
    <xf numFmtId="1" fontId="2" fillId="3" borderId="47" xfId="0" applyNumberFormat="1" applyFont="1" applyFill="1" applyBorder="1" applyAlignment="1">
      <alignment horizontal="center"/>
    </xf>
    <xf numFmtId="0" fontId="2" fillId="5" borderId="70" xfId="0" applyFont="1" applyFill="1" applyBorder="1" applyAlignment="1">
      <alignment horizontal="center"/>
    </xf>
    <xf numFmtId="2" fontId="2" fillId="3" borderId="70" xfId="0" applyNumberFormat="1" applyFont="1" applyFill="1" applyBorder="1" applyAlignment="1">
      <alignment horizontal="center"/>
    </xf>
    <xf numFmtId="0" fontId="2" fillId="5" borderId="16" xfId="0" applyFont="1" applyFill="1" applyBorder="1" applyAlignment="1">
      <alignment horizontal="center"/>
    </xf>
    <xf numFmtId="2" fontId="2" fillId="3" borderId="16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3" fillId="0" borderId="0" xfId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7" fillId="0" borderId="71" xfId="0" applyFont="1" applyBorder="1" applyProtection="1">
      <protection hidden="1"/>
    </xf>
    <xf numFmtId="0" fontId="7" fillId="0" borderId="6" xfId="0" applyFont="1" applyBorder="1" applyProtection="1">
      <protection hidden="1"/>
    </xf>
    <xf numFmtId="0" fontId="7" fillId="0" borderId="72" xfId="0" applyFont="1" applyBorder="1" applyProtection="1">
      <protection hidden="1"/>
    </xf>
    <xf numFmtId="0" fontId="7" fillId="0" borderId="0" xfId="0" applyFont="1" applyProtection="1">
      <protection hidden="1"/>
    </xf>
    <xf numFmtId="0" fontId="0" fillId="0" borderId="72" xfId="0" applyBorder="1" applyProtection="1">
      <protection hidden="1"/>
    </xf>
    <xf numFmtId="0" fontId="9" fillId="0" borderId="73" xfId="0" applyFont="1" applyBorder="1" applyAlignment="1" applyProtection="1">
      <alignment horizontal="center"/>
      <protection hidden="1"/>
    </xf>
    <xf numFmtId="0" fontId="6" fillId="0" borderId="2" xfId="0" applyFont="1" applyBorder="1" applyAlignment="1" applyProtection="1">
      <alignment horizontal="center"/>
      <protection hidden="1"/>
    </xf>
    <xf numFmtId="0" fontId="4" fillId="0" borderId="74" xfId="0" applyFont="1" applyBorder="1" applyProtection="1">
      <protection hidden="1"/>
    </xf>
    <xf numFmtId="0" fontId="6" fillId="0" borderId="3" xfId="0" applyFont="1" applyBorder="1" applyAlignment="1" applyProtection="1">
      <alignment horizontal="center"/>
      <protection hidden="1"/>
    </xf>
    <xf numFmtId="0" fontId="10" fillId="0" borderId="75" xfId="0" applyFont="1" applyBorder="1" applyProtection="1">
      <protection hidden="1"/>
    </xf>
    <xf numFmtId="0" fontId="10" fillId="0" borderId="0" xfId="0" applyFont="1" applyProtection="1">
      <protection hidden="1"/>
    </xf>
    <xf numFmtId="0" fontId="10" fillId="0" borderId="76" xfId="0" applyFont="1" applyBorder="1" applyAlignment="1" applyProtection="1">
      <alignment horizontal="right"/>
      <protection hidden="1"/>
    </xf>
    <xf numFmtId="0" fontId="4" fillId="0" borderId="75" xfId="0" applyFont="1" applyBorder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4" fillId="0" borderId="76" xfId="0" applyFont="1" applyBorder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10" fillId="0" borderId="7" xfId="0" applyFont="1" applyBorder="1" applyAlignment="1" applyProtection="1">
      <alignment horizontal="right"/>
      <protection hidden="1"/>
    </xf>
    <xf numFmtId="0" fontId="11" fillId="0" borderId="2" xfId="0" applyFont="1" applyBorder="1" applyAlignment="1" applyProtection="1">
      <alignment wrapText="1"/>
      <protection hidden="1"/>
    </xf>
    <xf numFmtId="0" fontId="11" fillId="0" borderId="3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/>
      <protection hidden="1"/>
    </xf>
    <xf numFmtId="1" fontId="4" fillId="0" borderId="3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2" fontId="4" fillId="0" borderId="73" xfId="0" applyNumberFormat="1" applyFont="1" applyBorder="1" applyAlignment="1" applyProtection="1">
      <alignment horizontal="center"/>
      <protection hidden="1"/>
    </xf>
    <xf numFmtId="0" fontId="4" fillId="0" borderId="72" xfId="0" applyFont="1" applyBorder="1" applyProtection="1">
      <protection hidden="1"/>
    </xf>
    <xf numFmtId="0" fontId="4" fillId="0" borderId="0" xfId="0" applyFont="1" applyProtection="1">
      <protection hidden="1"/>
    </xf>
    <xf numFmtId="0" fontId="0" fillId="0" borderId="77" xfId="0" applyBorder="1" applyProtection="1">
      <protection hidden="1"/>
    </xf>
    <xf numFmtId="0" fontId="0" fillId="0" borderId="78" xfId="0" applyBorder="1" applyProtection="1">
      <protection hidden="1"/>
    </xf>
    <xf numFmtId="0" fontId="0" fillId="0" borderId="79" xfId="0" applyBorder="1" applyProtection="1">
      <protection hidden="1"/>
    </xf>
    <xf numFmtId="1" fontId="5" fillId="0" borderId="0" xfId="0" applyNumberFormat="1" applyFont="1" applyAlignment="1" applyProtection="1">
      <alignment horizontal="left"/>
      <protection hidden="1"/>
    </xf>
    <xf numFmtId="0" fontId="0" fillId="0" borderId="71" xfId="0" applyBorder="1" applyProtection="1">
      <protection hidden="1"/>
    </xf>
    <xf numFmtId="0" fontId="0" fillId="0" borderId="80" xfId="0" applyBorder="1" applyProtection="1">
      <protection hidden="1"/>
    </xf>
    <xf numFmtId="0" fontId="0" fillId="0" borderId="73" xfId="0" applyBorder="1" applyProtection="1">
      <protection hidden="1"/>
    </xf>
    <xf numFmtId="0" fontId="4" fillId="0" borderId="71" xfId="0" applyFont="1" applyBorder="1" applyProtection="1">
      <protection hidden="1"/>
    </xf>
    <xf numFmtId="0" fontId="4" fillId="0" borderId="80" xfId="0" applyFont="1" applyBorder="1" applyProtection="1">
      <protection hidden="1"/>
    </xf>
    <xf numFmtId="0" fontId="4" fillId="0" borderId="73" xfId="0" applyFont="1" applyBorder="1" applyProtection="1">
      <protection hidden="1"/>
    </xf>
    <xf numFmtId="1" fontId="4" fillId="0" borderId="73" xfId="0" applyNumberFormat="1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4" fillId="0" borderId="72" xfId="0" applyFont="1" applyBorder="1" applyAlignment="1" applyProtection="1">
      <alignment horizontal="center"/>
      <protection hidden="1"/>
    </xf>
    <xf numFmtId="0" fontId="4" fillId="0" borderId="73" xfId="0" applyFont="1" applyBorder="1" applyAlignment="1" applyProtection="1">
      <alignment horizontal="center"/>
      <protection hidden="1"/>
    </xf>
    <xf numFmtId="0" fontId="0" fillId="4" borderId="16" xfId="0" applyFill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1" fillId="4" borderId="8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2" borderId="57" xfId="0" applyFont="1" applyFill="1" applyBorder="1" applyAlignment="1" applyProtection="1">
      <alignment horizontal="center"/>
      <protection locked="0"/>
    </xf>
    <xf numFmtId="0" fontId="3" fillId="2" borderId="86" xfId="0" applyFont="1" applyFill="1" applyBorder="1" applyAlignment="1" applyProtection="1">
      <alignment horizontal="center"/>
      <protection locked="0"/>
    </xf>
    <xf numFmtId="0" fontId="3" fillId="2" borderId="87" xfId="0" applyFont="1" applyFill="1" applyBorder="1" applyAlignment="1" applyProtection="1">
      <alignment horizontal="center"/>
      <protection locked="0"/>
    </xf>
    <xf numFmtId="0" fontId="3" fillId="2" borderId="88" xfId="0" applyFont="1" applyFill="1" applyBorder="1" applyAlignment="1" applyProtection="1">
      <alignment horizontal="center"/>
      <protection locked="0"/>
    </xf>
    <xf numFmtId="0" fontId="2" fillId="0" borderId="69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0" fontId="2" fillId="0" borderId="90" xfId="0" applyFont="1" applyBorder="1" applyAlignment="1">
      <alignment horizontal="center"/>
    </xf>
    <xf numFmtId="0" fontId="3" fillId="2" borderId="14" xfId="0" applyFont="1" applyFill="1" applyBorder="1" applyAlignment="1" applyProtection="1">
      <alignment horizontal="center"/>
      <protection locked="0"/>
    </xf>
    <xf numFmtId="0" fontId="8" fillId="0" borderId="80" xfId="0" applyFont="1" applyBorder="1" applyAlignment="1" applyProtection="1">
      <alignment horizontal="center" vertical="center"/>
      <protection hidden="1"/>
    </xf>
    <xf numFmtId="0" fontId="8" fillId="0" borderId="73" xfId="0" applyFont="1" applyBorder="1" applyAlignment="1" applyProtection="1">
      <alignment horizontal="center" vertical="center"/>
      <protection hidden="1"/>
    </xf>
    <xf numFmtId="0" fontId="4" fillId="0" borderId="72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73" xfId="0" applyFont="1" applyBorder="1" applyAlignment="1" applyProtection="1">
      <alignment horizontal="left" vertical="center" wrapText="1"/>
      <protection hidden="1"/>
    </xf>
    <xf numFmtId="0" fontId="4" fillId="0" borderId="91" xfId="0" applyFont="1" applyBorder="1" applyAlignment="1" applyProtection="1">
      <alignment horizontal="left" vertical="center" wrapText="1"/>
      <protection hidden="1"/>
    </xf>
    <xf numFmtId="0" fontId="4" fillId="0" borderId="92" xfId="0" applyFont="1" applyBorder="1" applyAlignment="1" applyProtection="1">
      <alignment horizontal="left" vertical="center" wrapText="1"/>
      <protection hidden="1"/>
    </xf>
    <xf numFmtId="0" fontId="4" fillId="0" borderId="93" xfId="0" applyFont="1" applyBorder="1" applyAlignment="1" applyProtection="1">
      <alignment horizontal="left" vertical="center" wrapText="1"/>
      <protection hidden="1"/>
    </xf>
    <xf numFmtId="0" fontId="12" fillId="0" borderId="94" xfId="0" applyFont="1" applyBorder="1" applyAlignment="1" applyProtection="1">
      <alignment horizontal="center" vertical="center"/>
      <protection hidden="1"/>
    </xf>
    <xf numFmtId="0" fontId="4" fillId="0" borderId="13" xfId="0" applyFont="1" applyBorder="1" applyAlignment="1" applyProtection="1">
      <alignment horizontal="center"/>
      <protection hidden="1"/>
    </xf>
    <xf numFmtId="0" fontId="4" fillId="0" borderId="74" xfId="0" applyFont="1" applyBorder="1" applyAlignment="1" applyProtection="1">
      <alignment horizontal="center"/>
      <protection hidden="1"/>
    </xf>
    <xf numFmtId="0" fontId="4" fillId="0" borderId="90" xfId="0" applyFont="1" applyBorder="1" applyAlignment="1" applyProtection="1">
      <alignment horizontal="center"/>
      <protection hidden="1"/>
    </xf>
    <xf numFmtId="2" fontId="4" fillId="0" borderId="16" xfId="0" applyNumberFormat="1" applyFont="1" applyBorder="1" applyAlignment="1" applyProtection="1">
      <alignment horizontal="center"/>
      <protection hidden="1"/>
    </xf>
    <xf numFmtId="0" fontId="4" fillId="0" borderId="16" xfId="0" applyFont="1" applyBorder="1" applyAlignment="1" applyProtection="1">
      <alignment horizontal="center"/>
      <protection hidden="1"/>
    </xf>
    <xf numFmtId="0" fontId="11" fillId="0" borderId="16" xfId="0" applyFont="1" applyBorder="1" applyAlignment="1" applyProtection="1">
      <alignment horizontal="center" wrapText="1"/>
      <protection hidden="1"/>
    </xf>
    <xf numFmtId="0" fontId="4" fillId="0" borderId="72" xfId="0" applyFont="1" applyBorder="1" applyAlignment="1" applyProtection="1">
      <alignment horizontal="center"/>
      <protection hidden="1"/>
    </xf>
    <xf numFmtId="0" fontId="4" fillId="0" borderId="73" xfId="0" applyFont="1" applyBorder="1" applyAlignment="1" applyProtection="1">
      <alignment horizontal="center"/>
      <protection hidden="1"/>
    </xf>
    <xf numFmtId="0" fontId="4" fillId="0" borderId="71" xfId="0" applyFont="1" applyBorder="1" applyAlignment="1" applyProtection="1">
      <alignment horizontal="center"/>
      <protection hidden="1"/>
    </xf>
    <xf numFmtId="0" fontId="4" fillId="0" borderId="80" xfId="0" applyFont="1" applyBorder="1" applyAlignment="1" applyProtection="1">
      <alignment horizontal="center"/>
      <protection hidden="1"/>
    </xf>
    <xf numFmtId="0" fontId="4" fillId="0" borderId="72" xfId="0" applyFont="1" applyBorder="1" applyAlignment="1" applyProtection="1">
      <alignment horizontal="center" vertical="center" wrapText="1"/>
      <protection hidden="1"/>
    </xf>
    <xf numFmtId="0" fontId="4" fillId="0" borderId="73" xfId="0" applyFont="1" applyBorder="1" applyAlignment="1" applyProtection="1">
      <alignment horizontal="center" vertical="center" wrapText="1"/>
      <protection hidden="1"/>
    </xf>
    <xf numFmtId="0" fontId="4" fillId="0" borderId="77" xfId="0" applyFont="1" applyBorder="1" applyAlignment="1" applyProtection="1">
      <alignment horizontal="center"/>
      <protection hidden="1"/>
    </xf>
    <xf numFmtId="0" fontId="4" fillId="0" borderId="79" xfId="0" applyFont="1" applyBorder="1" applyAlignment="1" applyProtection="1">
      <alignment horizontal="center"/>
      <protection hidden="1"/>
    </xf>
  </cellXfs>
  <cellStyles count="3">
    <cellStyle name="Hipervínculo" xfId="1" builtinId="8"/>
    <cellStyle name="Normal" xfId="0" builtinId="0"/>
    <cellStyle name="Normal 2" xfId="2" xr:uid="{25C09A39-4BB6-4E42-9C36-C2D7299C2633}"/>
  </cellStyles>
  <dxfs count="10"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99CC00"/>
        </patternFill>
      </fill>
    </dxf>
    <dxf>
      <font>
        <color theme="0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9900"/>
        </patternFill>
      </fill>
    </dxf>
    <dxf>
      <font>
        <color theme="0"/>
      </font>
      <fill>
        <patternFill>
          <bgColor rgb="FFFF33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2</xdr:col>
      <xdr:colOff>1847850</xdr:colOff>
      <xdr:row>3</xdr:row>
      <xdr:rowOff>19050</xdr:rowOff>
    </xdr:to>
    <xdr:pic>
      <xdr:nvPicPr>
        <xdr:cNvPr id="3096" name="Picture 78" descr="INNALTECH_LOGOTIP">
          <a:extLst>
            <a:ext uri="{FF2B5EF4-FFF2-40B4-BE49-F238E27FC236}">
              <a16:creationId xmlns:a16="http://schemas.microsoft.com/office/drawing/2014/main" id="{EDF2B5F6-AC06-F260-F6D8-637923546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5725"/>
          <a:ext cx="1990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13</xdr:row>
      <xdr:rowOff>9525</xdr:rowOff>
    </xdr:from>
    <xdr:to>
      <xdr:col>1</xdr:col>
      <xdr:colOff>904875</xdr:colOff>
      <xdr:row>20</xdr:row>
      <xdr:rowOff>9525</xdr:rowOff>
    </xdr:to>
    <xdr:pic>
      <xdr:nvPicPr>
        <xdr:cNvPr id="1193" name="Imagen 1">
          <a:extLst>
            <a:ext uri="{FF2B5EF4-FFF2-40B4-BE49-F238E27FC236}">
              <a16:creationId xmlns:a16="http://schemas.microsoft.com/office/drawing/2014/main" id="{911C672F-A99F-5A1C-04BF-3D76954FC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1"/>
        <a:stretch>
          <a:fillRect/>
        </a:stretch>
      </xdr:blipFill>
      <xdr:spPr bwMode="auto">
        <a:xfrm>
          <a:off x="219075" y="1885950"/>
          <a:ext cx="8858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13</xdr:row>
      <xdr:rowOff>19050</xdr:rowOff>
    </xdr:from>
    <xdr:to>
      <xdr:col>4</xdr:col>
      <xdr:colOff>876300</xdr:colOff>
      <xdr:row>20</xdr:row>
      <xdr:rowOff>19050</xdr:rowOff>
    </xdr:to>
    <xdr:pic>
      <xdr:nvPicPr>
        <xdr:cNvPr id="1194" name="Imagen 2">
          <a:extLst>
            <a:ext uri="{FF2B5EF4-FFF2-40B4-BE49-F238E27FC236}">
              <a16:creationId xmlns:a16="http://schemas.microsoft.com/office/drawing/2014/main" id="{C7F0F2FE-A2A2-D342-2B6F-0A89CED16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00"/>
        <a:stretch>
          <a:fillRect/>
        </a:stretch>
      </xdr:blipFill>
      <xdr:spPr bwMode="auto">
        <a:xfrm>
          <a:off x="2247900" y="1895475"/>
          <a:ext cx="8572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13</xdr:row>
      <xdr:rowOff>9525</xdr:rowOff>
    </xdr:from>
    <xdr:to>
      <xdr:col>6</xdr:col>
      <xdr:colOff>904875</xdr:colOff>
      <xdr:row>20</xdr:row>
      <xdr:rowOff>9525</xdr:rowOff>
    </xdr:to>
    <xdr:pic>
      <xdr:nvPicPr>
        <xdr:cNvPr id="1195" name="Imagen 5">
          <a:extLst>
            <a:ext uri="{FF2B5EF4-FFF2-40B4-BE49-F238E27FC236}">
              <a16:creationId xmlns:a16="http://schemas.microsoft.com/office/drawing/2014/main" id="{679E26CD-0C91-3266-F728-6B1DE155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1"/>
        <a:stretch>
          <a:fillRect/>
        </a:stretch>
      </xdr:blipFill>
      <xdr:spPr bwMode="auto">
        <a:xfrm>
          <a:off x="3400425" y="1885950"/>
          <a:ext cx="8858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13</xdr:row>
      <xdr:rowOff>19050</xdr:rowOff>
    </xdr:from>
    <xdr:to>
      <xdr:col>9</xdr:col>
      <xdr:colOff>876300</xdr:colOff>
      <xdr:row>20</xdr:row>
      <xdr:rowOff>19050</xdr:rowOff>
    </xdr:to>
    <xdr:pic>
      <xdr:nvPicPr>
        <xdr:cNvPr id="1196" name="Imagen 6">
          <a:extLst>
            <a:ext uri="{FF2B5EF4-FFF2-40B4-BE49-F238E27FC236}">
              <a16:creationId xmlns:a16="http://schemas.microsoft.com/office/drawing/2014/main" id="{5696D443-0BA6-C062-438A-21E4194E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00"/>
        <a:stretch>
          <a:fillRect/>
        </a:stretch>
      </xdr:blipFill>
      <xdr:spPr bwMode="auto">
        <a:xfrm>
          <a:off x="5429250" y="1895475"/>
          <a:ext cx="8572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42</xdr:row>
      <xdr:rowOff>9525</xdr:rowOff>
    </xdr:from>
    <xdr:to>
      <xdr:col>1</xdr:col>
      <xdr:colOff>904875</xdr:colOff>
      <xdr:row>49</xdr:row>
      <xdr:rowOff>9525</xdr:rowOff>
    </xdr:to>
    <xdr:pic>
      <xdr:nvPicPr>
        <xdr:cNvPr id="1197" name="Imagen 7">
          <a:extLst>
            <a:ext uri="{FF2B5EF4-FFF2-40B4-BE49-F238E27FC236}">
              <a16:creationId xmlns:a16="http://schemas.microsoft.com/office/drawing/2014/main" id="{AF50377A-87CF-DB72-02F7-BDA41D22F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1"/>
        <a:stretch>
          <a:fillRect/>
        </a:stretch>
      </xdr:blipFill>
      <xdr:spPr bwMode="auto">
        <a:xfrm>
          <a:off x="219075" y="6553200"/>
          <a:ext cx="8858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42</xdr:row>
      <xdr:rowOff>19050</xdr:rowOff>
    </xdr:from>
    <xdr:to>
      <xdr:col>4</xdr:col>
      <xdr:colOff>876300</xdr:colOff>
      <xdr:row>49</xdr:row>
      <xdr:rowOff>19050</xdr:rowOff>
    </xdr:to>
    <xdr:pic>
      <xdr:nvPicPr>
        <xdr:cNvPr id="1198" name="Imagen 8">
          <a:extLst>
            <a:ext uri="{FF2B5EF4-FFF2-40B4-BE49-F238E27FC236}">
              <a16:creationId xmlns:a16="http://schemas.microsoft.com/office/drawing/2014/main" id="{A48FB4FF-5742-62E2-566F-59F3CE33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00"/>
        <a:stretch>
          <a:fillRect/>
        </a:stretch>
      </xdr:blipFill>
      <xdr:spPr bwMode="auto">
        <a:xfrm>
          <a:off x="2247900" y="6562725"/>
          <a:ext cx="8572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42</xdr:row>
      <xdr:rowOff>9525</xdr:rowOff>
    </xdr:from>
    <xdr:to>
      <xdr:col>6</xdr:col>
      <xdr:colOff>904875</xdr:colOff>
      <xdr:row>49</xdr:row>
      <xdr:rowOff>9525</xdr:rowOff>
    </xdr:to>
    <xdr:pic>
      <xdr:nvPicPr>
        <xdr:cNvPr id="1199" name="Imagen 9">
          <a:extLst>
            <a:ext uri="{FF2B5EF4-FFF2-40B4-BE49-F238E27FC236}">
              <a16:creationId xmlns:a16="http://schemas.microsoft.com/office/drawing/2014/main" id="{4D7EAC6A-45B7-DA6F-56FA-47B4103C8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11"/>
        <a:stretch>
          <a:fillRect/>
        </a:stretch>
      </xdr:blipFill>
      <xdr:spPr bwMode="auto">
        <a:xfrm>
          <a:off x="3400425" y="6553200"/>
          <a:ext cx="8858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19050</xdr:colOff>
      <xdr:row>42</xdr:row>
      <xdr:rowOff>19050</xdr:rowOff>
    </xdr:from>
    <xdr:to>
      <xdr:col>9</xdr:col>
      <xdr:colOff>876300</xdr:colOff>
      <xdr:row>49</xdr:row>
      <xdr:rowOff>19050</xdr:rowOff>
    </xdr:to>
    <xdr:pic>
      <xdr:nvPicPr>
        <xdr:cNvPr id="1200" name="Imagen 10">
          <a:extLst>
            <a:ext uri="{FF2B5EF4-FFF2-40B4-BE49-F238E27FC236}">
              <a16:creationId xmlns:a16="http://schemas.microsoft.com/office/drawing/2014/main" id="{74E1B342-277F-374A-C676-A56D1940F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900"/>
        <a:stretch>
          <a:fillRect/>
        </a:stretch>
      </xdr:blipFill>
      <xdr:spPr bwMode="auto">
        <a:xfrm>
          <a:off x="5429250" y="6562725"/>
          <a:ext cx="8572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1085850</xdr:colOff>
      <xdr:row>2</xdr:row>
      <xdr:rowOff>104775</xdr:rowOff>
    </xdr:from>
    <xdr:to>
      <xdr:col>1</xdr:col>
      <xdr:colOff>1781175</xdr:colOff>
      <xdr:row>6</xdr:row>
      <xdr:rowOff>0</xdr:rowOff>
    </xdr:to>
    <xdr:pic>
      <xdr:nvPicPr>
        <xdr:cNvPr id="2133" name="Picture 1">
          <a:extLst>
            <a:ext uri="{FF2B5EF4-FFF2-40B4-BE49-F238E27FC236}">
              <a16:creationId xmlns:a16="http://schemas.microsoft.com/office/drawing/2014/main" id="{274255F8-8CA7-F8C4-C706-9D7DFCC2D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333375"/>
          <a:ext cx="69532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1085850</xdr:colOff>
      <xdr:row>2</xdr:row>
      <xdr:rowOff>104775</xdr:rowOff>
    </xdr:from>
    <xdr:to>
      <xdr:col>4</xdr:col>
      <xdr:colOff>1771650</xdr:colOff>
      <xdr:row>6</xdr:row>
      <xdr:rowOff>0</xdr:rowOff>
    </xdr:to>
    <xdr:pic>
      <xdr:nvPicPr>
        <xdr:cNvPr id="2134" name="Picture 9">
          <a:extLst>
            <a:ext uri="{FF2B5EF4-FFF2-40B4-BE49-F238E27FC236}">
              <a16:creationId xmlns:a16="http://schemas.microsoft.com/office/drawing/2014/main" id="{CE5EE849-48F1-C39A-6AB8-13CDFF2D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33375"/>
          <a:ext cx="685800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1085850</xdr:colOff>
      <xdr:row>38</xdr:row>
      <xdr:rowOff>104775</xdr:rowOff>
    </xdr:from>
    <xdr:to>
      <xdr:col>1</xdr:col>
      <xdr:colOff>1781175</xdr:colOff>
      <xdr:row>42</xdr:row>
      <xdr:rowOff>0</xdr:rowOff>
    </xdr:to>
    <xdr:pic>
      <xdr:nvPicPr>
        <xdr:cNvPr id="2135" name="Picture 10">
          <a:extLst>
            <a:ext uri="{FF2B5EF4-FFF2-40B4-BE49-F238E27FC236}">
              <a16:creationId xmlns:a16="http://schemas.microsoft.com/office/drawing/2014/main" id="{D3E0F0A2-CBB6-B777-FA9C-E25572BB0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324475"/>
          <a:ext cx="69532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1085850</xdr:colOff>
      <xdr:row>38</xdr:row>
      <xdr:rowOff>104775</xdr:rowOff>
    </xdr:from>
    <xdr:to>
      <xdr:col>4</xdr:col>
      <xdr:colOff>1781175</xdr:colOff>
      <xdr:row>42</xdr:row>
      <xdr:rowOff>0</xdr:rowOff>
    </xdr:to>
    <xdr:pic>
      <xdr:nvPicPr>
        <xdr:cNvPr id="2136" name="Picture 11">
          <a:extLst>
            <a:ext uri="{FF2B5EF4-FFF2-40B4-BE49-F238E27FC236}">
              <a16:creationId xmlns:a16="http://schemas.microsoft.com/office/drawing/2014/main" id="{CCE6160F-91CC-9D83-7183-43F31CC06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5324475"/>
          <a:ext cx="695325" cy="542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tiqueta%20efici&#232;ncia%20t&#232;rm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TIQUETA_EE"/>
      <sheetName val="Dades finestra"/>
      <sheetName val="Dades empresa"/>
      <sheetName val="IMATGES"/>
      <sheetName val="ETIQUETA_1"/>
    </sheetNames>
    <sheetDataSet>
      <sheetData sheetId="0"/>
      <sheetData sheetId="1">
        <row r="25">
          <cell r="D25"/>
        </row>
        <row r="48">
          <cell r="D48"/>
        </row>
        <row r="72">
          <cell r="D72"/>
        </row>
        <row r="96">
          <cell r="D96"/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44E8-A256-49DB-9800-3CBF5933692A}">
  <dimension ref="A3:J93"/>
  <sheetViews>
    <sheetView zoomScale="85" workbookViewId="0">
      <selection activeCell="D27" sqref="D27"/>
    </sheetView>
  </sheetViews>
  <sheetFormatPr defaultColWidth="11.42578125" defaultRowHeight="14.25"/>
  <cols>
    <col min="1" max="1" width="10.5703125" style="154" bestFit="1" customWidth="1"/>
    <col min="2" max="2" width="14.7109375" style="154" customWidth="1"/>
    <col min="3" max="7" width="11.42578125" style="154" customWidth="1"/>
    <col min="8" max="8" width="13.7109375" style="154" bestFit="1" customWidth="1"/>
    <col min="9" max="16384" width="11.42578125" style="154"/>
  </cols>
  <sheetData>
    <row r="3" spans="1:10" ht="42.75" customHeight="1">
      <c r="A3" s="152" t="s">
        <v>0</v>
      </c>
      <c r="B3" s="152" t="s">
        <v>1</v>
      </c>
      <c r="C3" s="153"/>
    </row>
    <row r="4" spans="1:10" ht="42.75" customHeight="1">
      <c r="A4" s="152" t="s">
        <v>2</v>
      </c>
      <c r="B4" s="152" t="s">
        <v>3</v>
      </c>
    </row>
    <row r="5" spans="1:10" ht="42.75" customHeight="1">
      <c r="A5" s="152" t="s">
        <v>4</v>
      </c>
      <c r="B5" s="152" t="s">
        <v>5</v>
      </c>
      <c r="J5" s="153"/>
    </row>
    <row r="6" spans="1:10" ht="42.75" customHeight="1">
      <c r="A6" s="152"/>
      <c r="B6" s="152" t="s">
        <v>6</v>
      </c>
    </row>
    <row r="7" spans="1:10" ht="42.75" customHeight="1">
      <c r="A7" s="152"/>
      <c r="B7" s="152" t="s">
        <v>7</v>
      </c>
    </row>
    <row r="8" spans="1:10" ht="42.75" customHeight="1">
      <c r="A8" s="152"/>
      <c r="B8" s="152" t="s">
        <v>8</v>
      </c>
    </row>
    <row r="9" spans="1:10" ht="42.75" customHeight="1">
      <c r="A9" s="152"/>
      <c r="B9" s="152" t="s">
        <v>9</v>
      </c>
    </row>
    <row r="10" spans="1:10" ht="42.75" customHeight="1"/>
    <row r="11" spans="1:10" ht="42.75" customHeight="1"/>
    <row r="12" spans="1:10" ht="15" customHeight="1"/>
    <row r="13" spans="1:10" ht="15" customHeight="1"/>
    <row r="14" spans="1:10" ht="15" customHeight="1"/>
    <row r="15" spans="1:10" ht="15" customHeight="1"/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sheetProtection password="A489" sheet="1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4825-88FD-4195-B060-F940EC9AFD63}">
  <dimension ref="B5:C10"/>
  <sheetViews>
    <sheetView workbookViewId="0">
      <selection activeCell="C10" sqref="C10"/>
    </sheetView>
  </sheetViews>
  <sheetFormatPr defaultColWidth="11.42578125" defaultRowHeight="12.75"/>
  <cols>
    <col min="1" max="1" width="11.42578125" customWidth="1"/>
    <col min="2" max="2" width="15.140625" customWidth="1"/>
    <col min="3" max="3" width="57.85546875" customWidth="1"/>
  </cols>
  <sheetData>
    <row r="5" spans="2:3" ht="15" customHeight="1">
      <c r="B5" s="202" t="s">
        <v>10</v>
      </c>
      <c r="C5" s="202"/>
    </row>
    <row r="6" spans="2:3" ht="15" customHeight="1">
      <c r="B6" s="78" t="s">
        <v>11</v>
      </c>
      <c r="C6" s="144" t="s">
        <v>12</v>
      </c>
    </row>
    <row r="7" spans="2:3" ht="15" customHeight="1">
      <c r="B7" s="78" t="s">
        <v>13</v>
      </c>
      <c r="C7" s="144" t="s">
        <v>14</v>
      </c>
    </row>
    <row r="8" spans="2:3" ht="15" customHeight="1">
      <c r="B8" s="78" t="s">
        <v>15</v>
      </c>
      <c r="C8" s="90" t="s">
        <v>16</v>
      </c>
    </row>
    <row r="9" spans="2:3" ht="15" customHeight="1">
      <c r="B9" s="78" t="s">
        <v>17</v>
      </c>
      <c r="C9" s="89" t="s">
        <v>18</v>
      </c>
    </row>
    <row r="10" spans="2:3" ht="15" customHeight="1">
      <c r="B10" s="78" t="s">
        <v>19</v>
      </c>
      <c r="C10" s="89" t="s">
        <v>20</v>
      </c>
    </row>
  </sheetData>
  <sheetProtection password="DB49" sheet="1" objects="1" scenarios="1"/>
  <mergeCells count="1">
    <mergeCell ref="B5:C5"/>
  </mergeCells>
  <phoneticPr fontId="4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24D98-0418-479A-B938-9DF3511EC288}">
  <sheetPr codeName="Hoja1"/>
  <dimension ref="C1:DG103"/>
  <sheetViews>
    <sheetView tabSelected="1" zoomScale="85" workbookViewId="0">
      <selection activeCell="H81" sqref="H81"/>
    </sheetView>
  </sheetViews>
  <sheetFormatPr defaultColWidth="11.42578125" defaultRowHeight="14.25"/>
  <cols>
    <col min="1" max="1" width="2.7109375" style="1" customWidth="1"/>
    <col min="2" max="2" width="4.42578125" style="1" customWidth="1"/>
    <col min="3" max="3" width="32.85546875" style="2" customWidth="1"/>
    <col min="4" max="4" width="37.5703125" style="1" customWidth="1"/>
    <col min="5" max="5" width="8" style="1" customWidth="1"/>
    <col min="6" max="6" width="12.7109375" style="1" bestFit="1" customWidth="1"/>
    <col min="7" max="8" width="9" style="1" customWidth="1"/>
    <col min="9" max="9" width="19.140625" style="1" bestFit="1" customWidth="1"/>
    <col min="10" max="10" width="18.28515625" style="1" hidden="1" customWidth="1"/>
    <col min="11" max="11" width="6.5703125" style="1" hidden="1" customWidth="1"/>
    <col min="12" max="13" width="28.42578125" style="1" hidden="1" customWidth="1"/>
    <col min="14" max="14" width="25.28515625" style="1" hidden="1" customWidth="1"/>
    <col min="15" max="15" width="6.85546875" style="1" hidden="1" customWidth="1"/>
    <col min="16" max="17" width="5.85546875" style="1" hidden="1" customWidth="1"/>
    <col min="18" max="18" width="5.28515625" style="1" hidden="1" customWidth="1"/>
    <col min="19" max="19" width="5.5703125" style="1" hidden="1" customWidth="1"/>
    <col min="20" max="21" width="5.85546875" style="1" hidden="1" customWidth="1"/>
    <col min="22" max="22" width="6.42578125" style="1" hidden="1" customWidth="1"/>
    <col min="23" max="25" width="7" style="1" hidden="1" customWidth="1"/>
    <col min="26" max="26" width="5.85546875" style="1" hidden="1" customWidth="1"/>
    <col min="27" max="27" width="4.5703125" style="1" hidden="1" customWidth="1"/>
    <col min="28" max="29" width="7.42578125" style="1" hidden="1" customWidth="1"/>
    <col min="30" max="30" width="4.5703125" style="1" hidden="1" customWidth="1"/>
    <col min="31" max="32" width="7.42578125" style="1" hidden="1" customWidth="1"/>
    <col min="33" max="33" width="4.7109375" style="3" hidden="1" customWidth="1"/>
    <col min="34" max="35" width="7.42578125" style="3" hidden="1" customWidth="1"/>
    <col min="36" max="36" width="12.85546875" style="3" hidden="1" customWidth="1"/>
    <col min="37" max="38" width="12.85546875" style="1" hidden="1" customWidth="1"/>
    <col min="39" max="39" width="7" style="1" hidden="1" customWidth="1"/>
    <col min="40" max="40" width="14.140625" style="1" hidden="1" customWidth="1"/>
    <col min="41" max="41" width="5.140625" style="1" hidden="1" customWidth="1"/>
    <col min="42" max="42" width="14.140625" style="1" hidden="1" customWidth="1"/>
    <col min="43" max="43" width="6.42578125" style="1" hidden="1" customWidth="1"/>
    <col min="44" max="44" width="17.5703125" style="1" hidden="1" customWidth="1"/>
    <col min="45" max="45" width="4.140625" style="1" hidden="1" customWidth="1"/>
    <col min="46" max="47" width="5.85546875" style="1" hidden="1" customWidth="1"/>
    <col min="48" max="48" width="6.140625" style="1" hidden="1" customWidth="1"/>
    <col min="49" max="49" width="5.140625" style="1" hidden="1" customWidth="1"/>
    <col min="50" max="50" width="5.7109375" style="1" hidden="1" customWidth="1"/>
    <col min="51" max="51" width="7" style="1" hidden="1" customWidth="1"/>
    <col min="52" max="52" width="2.7109375" style="1" hidden="1" customWidth="1"/>
    <col min="53" max="53" width="2.28515625" style="1" hidden="1" customWidth="1"/>
    <col min="54" max="55" width="5.85546875" style="1" hidden="1" customWidth="1"/>
    <col min="56" max="56" width="6.140625" style="1" hidden="1" customWidth="1"/>
    <col min="57" max="57" width="5.140625" style="1" hidden="1" customWidth="1"/>
    <col min="58" max="58" width="5.7109375" style="1" hidden="1" customWidth="1"/>
    <col min="59" max="59" width="7.140625" style="1" hidden="1" customWidth="1"/>
    <col min="60" max="60" width="2.7109375" style="1" hidden="1" customWidth="1"/>
    <col min="61" max="61" width="2.28515625" style="1" hidden="1" customWidth="1"/>
    <col min="62" max="63" width="5.85546875" style="1" hidden="1" customWidth="1"/>
    <col min="64" max="64" width="6.140625" style="1" hidden="1" customWidth="1"/>
    <col min="65" max="65" width="5.140625" style="1" hidden="1" customWidth="1"/>
    <col min="66" max="66" width="5.7109375" style="1" hidden="1" customWidth="1"/>
    <col min="67" max="67" width="7.140625" style="1" hidden="1" customWidth="1"/>
    <col min="68" max="68" width="2.7109375" style="1" hidden="1" customWidth="1"/>
    <col min="69" max="69" width="2.28515625" style="1" hidden="1" customWidth="1"/>
    <col min="70" max="71" width="5.85546875" style="1" hidden="1" customWidth="1"/>
    <col min="72" max="72" width="6.140625" style="1" hidden="1" customWidth="1"/>
    <col min="73" max="73" width="5.140625" style="1" hidden="1" customWidth="1"/>
    <col min="74" max="74" width="5.7109375" style="1" hidden="1" customWidth="1"/>
    <col min="75" max="75" width="7.140625" style="1" hidden="1" customWidth="1"/>
    <col min="76" max="76" width="2.7109375" style="1" hidden="1" customWidth="1"/>
    <col min="77" max="77" width="2.28515625" style="1" hidden="1" customWidth="1"/>
    <col min="78" max="79" width="5.85546875" style="1" hidden="1" customWidth="1"/>
    <col min="80" max="80" width="8.140625" style="1" hidden="1" customWidth="1"/>
    <col min="81" max="81" width="5.140625" style="1" hidden="1" customWidth="1"/>
    <col min="82" max="82" width="3.5703125" style="1" hidden="1" customWidth="1"/>
    <col min="83" max="83" width="5.140625" style="1" hidden="1" customWidth="1"/>
    <col min="84" max="84" width="3.5703125" style="1" hidden="1" customWidth="1"/>
    <col min="85" max="85" width="14.140625" style="1" hidden="1" customWidth="1"/>
    <col min="86" max="86" width="2.28515625" style="1" hidden="1" customWidth="1"/>
    <col min="87" max="87" width="5.85546875" style="1" hidden="1" customWidth="1"/>
    <col min="88" max="88" width="5.140625" style="1" hidden="1" customWidth="1"/>
    <col min="89" max="89" width="6.140625" style="1" hidden="1" customWidth="1"/>
    <col min="90" max="91" width="4.28515625" style="1" hidden="1" customWidth="1"/>
    <col min="92" max="92" width="2.7109375" style="1" hidden="1" customWidth="1"/>
    <col min="93" max="94" width="2.28515625" style="1" hidden="1" customWidth="1"/>
    <col min="95" max="95" width="5.85546875" style="1" hidden="1" customWidth="1"/>
    <col min="96" max="96" width="2.7109375" style="1" hidden="1" customWidth="1"/>
    <col min="97" max="98" width="2.28515625" style="1" hidden="1" customWidth="1"/>
    <col min="99" max="99" width="5.85546875" style="1" hidden="1" customWidth="1"/>
    <col min="100" max="100" width="2.7109375" style="1" hidden="1" customWidth="1"/>
    <col min="101" max="102" width="2.28515625" style="1" hidden="1" customWidth="1"/>
    <col min="103" max="103" width="5.85546875" style="1" hidden="1" customWidth="1"/>
    <col min="104" max="104" width="2.7109375" style="1" hidden="1" customWidth="1"/>
    <col min="105" max="105" width="2.28515625" style="1" hidden="1" customWidth="1"/>
    <col min="106" max="106" width="5.7109375" style="1" hidden="1" customWidth="1"/>
    <col min="107" max="107" width="7.140625" style="1" hidden="1" customWidth="1"/>
    <col min="108" max="108" width="2.7109375" style="1" hidden="1" customWidth="1"/>
    <col min="109" max="109" width="2.28515625" style="1" hidden="1" customWidth="1"/>
    <col min="110" max="110" width="5.5703125" style="1" hidden="1" customWidth="1"/>
    <col min="111" max="111" width="8.85546875" style="1" hidden="1" customWidth="1"/>
    <col min="112" max="16384" width="11.42578125" style="1"/>
  </cols>
  <sheetData>
    <row r="1" spans="3:111">
      <c r="L1" s="1" t="s">
        <v>21</v>
      </c>
      <c r="M1" s="1" t="s">
        <v>22</v>
      </c>
      <c r="N1" s="9"/>
      <c r="R1"/>
      <c r="X1" s="19"/>
    </row>
    <row r="2" spans="3:111">
      <c r="L2" s="1" t="s">
        <v>23</v>
      </c>
      <c r="M2" s="1" t="s">
        <v>24</v>
      </c>
      <c r="N2" s="9"/>
      <c r="R2"/>
      <c r="X2" s="19"/>
    </row>
    <row r="3" spans="3:111" ht="12.75" customHeight="1">
      <c r="M3" s="1" t="s">
        <v>25</v>
      </c>
      <c r="N3" s="9"/>
      <c r="O3" s="9"/>
      <c r="P3" s="9"/>
      <c r="R3"/>
      <c r="X3" s="19"/>
    </row>
    <row r="4" spans="3:111">
      <c r="M4" s="1" t="s">
        <v>26</v>
      </c>
      <c r="N4" s="9"/>
      <c r="R4" s="81"/>
      <c r="S4" s="24"/>
      <c r="T4" s="24"/>
      <c r="U4" s="24"/>
      <c r="X4" s="24"/>
    </row>
    <row r="5" spans="3:111" ht="15" thickBot="1">
      <c r="J5" s="1">
        <v>1</v>
      </c>
      <c r="K5" s="1">
        <v>1</v>
      </c>
      <c r="L5" s="3">
        <v>0</v>
      </c>
      <c r="M5" s="1">
        <v>0</v>
      </c>
    </row>
    <row r="6" spans="3:111" ht="15.75" thickBot="1">
      <c r="C6" s="4"/>
      <c r="J6" s="1">
        <v>2</v>
      </c>
      <c r="K6" s="1">
        <v>2</v>
      </c>
      <c r="L6" s="3">
        <v>1</v>
      </c>
      <c r="M6" s="1">
        <v>0</v>
      </c>
      <c r="N6" s="2"/>
      <c r="AA6" s="203" t="s">
        <v>27</v>
      </c>
      <c r="AB6" s="205"/>
      <c r="AC6" s="204"/>
      <c r="AD6" s="203" t="s">
        <v>28</v>
      </c>
      <c r="AE6" s="205"/>
      <c r="AF6" s="204"/>
      <c r="AG6" s="1"/>
      <c r="AH6" s="1"/>
      <c r="AI6" s="1"/>
      <c r="AJ6" s="1"/>
      <c r="AM6" s="1" t="s">
        <v>29</v>
      </c>
      <c r="AP6" s="1">
        <v>10077</v>
      </c>
      <c r="AT6" s="220" t="s">
        <v>30</v>
      </c>
      <c r="AU6" s="221"/>
      <c r="AV6" s="221"/>
      <c r="AW6" s="221"/>
      <c r="AX6" s="221"/>
      <c r="AY6" s="221"/>
      <c r="AZ6" s="221"/>
      <c r="BA6" s="222"/>
      <c r="BB6" s="220" t="s">
        <v>31</v>
      </c>
      <c r="BC6" s="221"/>
      <c r="BD6" s="221"/>
      <c r="BE6" s="221"/>
      <c r="BF6" s="221"/>
      <c r="BG6" s="221"/>
      <c r="BH6" s="221"/>
      <c r="BI6" s="222"/>
      <c r="BJ6" s="220" t="s">
        <v>32</v>
      </c>
      <c r="BK6" s="221"/>
      <c r="BL6" s="221"/>
      <c r="BM6" s="221"/>
      <c r="BN6" s="221"/>
      <c r="BO6" s="221"/>
      <c r="BP6" s="221"/>
      <c r="BQ6" s="222"/>
      <c r="BR6" s="220" t="s">
        <v>33</v>
      </c>
      <c r="BS6" s="221"/>
      <c r="BT6" s="221"/>
      <c r="BU6" s="221"/>
      <c r="BV6" s="221"/>
      <c r="BW6" s="221"/>
      <c r="BX6" s="221"/>
      <c r="BY6" s="222"/>
      <c r="BZ6" s="225" t="s">
        <v>34</v>
      </c>
      <c r="CA6" s="226"/>
      <c r="CB6" s="226"/>
      <c r="CC6" s="226"/>
      <c r="CD6" s="226"/>
      <c r="CE6" s="226"/>
      <c r="CF6" s="226"/>
      <c r="CG6" s="226"/>
      <c r="CH6" s="227"/>
      <c r="CI6" s="65"/>
      <c r="CJ6" s="65"/>
      <c r="CK6" s="65"/>
      <c r="CL6" s="220">
        <v>1</v>
      </c>
      <c r="CM6" s="221"/>
      <c r="CN6" s="221"/>
      <c r="CO6" s="222"/>
      <c r="CP6" s="228">
        <v>2</v>
      </c>
      <c r="CQ6" s="226"/>
      <c r="CR6" s="226"/>
      <c r="CS6" s="229"/>
      <c r="CT6" s="220">
        <v>3</v>
      </c>
      <c r="CU6" s="221"/>
      <c r="CV6" s="221"/>
      <c r="CW6" s="222"/>
      <c r="CX6" s="220">
        <v>4</v>
      </c>
      <c r="CY6" s="221"/>
      <c r="CZ6" s="221"/>
      <c r="DA6" s="222"/>
      <c r="DB6" s="220" t="s">
        <v>35</v>
      </c>
      <c r="DC6" s="221"/>
      <c r="DD6" s="221"/>
      <c r="DE6" s="221"/>
      <c r="DF6" s="221"/>
      <c r="DG6" s="222"/>
    </row>
    <row r="7" spans="3:111" ht="15" customHeight="1" thickBot="1">
      <c r="C7" s="203" t="s">
        <v>36</v>
      </c>
      <c r="D7" s="204"/>
      <c r="J7" s="1" t="s">
        <v>37</v>
      </c>
      <c r="K7" s="1">
        <v>3</v>
      </c>
      <c r="L7" s="3">
        <v>2</v>
      </c>
      <c r="M7" s="1">
        <v>0</v>
      </c>
      <c r="N7" s="2"/>
      <c r="O7" s="28" t="s">
        <v>38</v>
      </c>
      <c r="P7" s="198" t="s">
        <v>39</v>
      </c>
      <c r="Q7" s="198" t="s">
        <v>40</v>
      </c>
      <c r="R7" s="198" t="s">
        <v>41</v>
      </c>
      <c r="S7" s="30" t="s">
        <v>42</v>
      </c>
      <c r="T7" s="199" t="s">
        <v>43</v>
      </c>
      <c r="U7" s="30" t="s">
        <v>44</v>
      </c>
      <c r="V7" s="30" t="s">
        <v>45</v>
      </c>
      <c r="W7" s="30" t="s">
        <v>46</v>
      </c>
      <c r="X7" s="30" t="s">
        <v>47</v>
      </c>
      <c r="Y7" s="31" t="s">
        <v>48</v>
      </c>
      <c r="Z7" s="31" t="s">
        <v>49</v>
      </c>
      <c r="AA7" s="28" t="s">
        <v>50</v>
      </c>
      <c r="AB7" s="30" t="s">
        <v>51</v>
      </c>
      <c r="AC7" s="107" t="s">
        <v>52</v>
      </c>
      <c r="AD7" s="28" t="s">
        <v>50</v>
      </c>
      <c r="AE7" s="30" t="s">
        <v>51</v>
      </c>
      <c r="AF7" s="107" t="s">
        <v>52</v>
      </c>
      <c r="AG7" s="199" t="s">
        <v>50</v>
      </c>
      <c r="AH7" s="30" t="s">
        <v>51</v>
      </c>
      <c r="AI7" s="30" t="s">
        <v>52</v>
      </c>
      <c r="AJ7" s="30" t="s">
        <v>53</v>
      </c>
      <c r="AK7" s="30" t="s">
        <v>54</v>
      </c>
      <c r="AL7" s="30" t="s">
        <v>55</v>
      </c>
      <c r="AM7" s="30" t="s">
        <v>56</v>
      </c>
      <c r="AN7" s="30" t="s">
        <v>57</v>
      </c>
      <c r="AO7" s="199" t="s">
        <v>58</v>
      </c>
      <c r="AP7" s="31" t="s">
        <v>58</v>
      </c>
      <c r="AQ7" s="32" t="s">
        <v>57</v>
      </c>
      <c r="AR7" s="1" t="s">
        <v>59</v>
      </c>
      <c r="AT7" s="49" t="s">
        <v>43</v>
      </c>
      <c r="AU7" s="29" t="s">
        <v>44</v>
      </c>
      <c r="AV7" s="29" t="s">
        <v>60</v>
      </c>
      <c r="AW7" s="29" t="s">
        <v>61</v>
      </c>
      <c r="AX7" s="29" t="s">
        <v>62</v>
      </c>
      <c r="AY7" s="29" t="s">
        <v>63</v>
      </c>
      <c r="AZ7" s="223" t="s">
        <v>64</v>
      </c>
      <c r="BA7" s="230"/>
      <c r="BB7" s="49" t="s">
        <v>43</v>
      </c>
      <c r="BC7" s="29" t="s">
        <v>44</v>
      </c>
      <c r="BD7" s="29" t="s">
        <v>60</v>
      </c>
      <c r="BE7" s="29"/>
      <c r="BF7" s="29" t="s">
        <v>62</v>
      </c>
      <c r="BG7" s="29" t="s">
        <v>63</v>
      </c>
      <c r="BH7" s="223" t="s">
        <v>64</v>
      </c>
      <c r="BI7" s="230"/>
      <c r="BJ7" s="49" t="s">
        <v>43</v>
      </c>
      <c r="BK7" s="29" t="s">
        <v>44</v>
      </c>
      <c r="BL7" s="29" t="s">
        <v>60</v>
      </c>
      <c r="BM7" s="29" t="s">
        <v>61</v>
      </c>
      <c r="BN7" s="29" t="s">
        <v>62</v>
      </c>
      <c r="BO7" s="29" t="s">
        <v>63</v>
      </c>
      <c r="BP7" s="223" t="s">
        <v>64</v>
      </c>
      <c r="BQ7" s="230"/>
      <c r="BR7" s="49" t="s">
        <v>43</v>
      </c>
      <c r="BS7" s="29" t="s">
        <v>44</v>
      </c>
      <c r="BT7" s="29" t="s">
        <v>60</v>
      </c>
      <c r="BU7" s="29" t="s">
        <v>61</v>
      </c>
      <c r="BV7" s="29" t="s">
        <v>62</v>
      </c>
      <c r="BW7" s="29" t="s">
        <v>63</v>
      </c>
      <c r="BX7" s="223" t="s">
        <v>64</v>
      </c>
      <c r="BY7" s="230"/>
      <c r="BZ7" s="49" t="s">
        <v>43</v>
      </c>
      <c r="CA7" s="29" t="s">
        <v>44</v>
      </c>
      <c r="CB7" s="29" t="s">
        <v>61</v>
      </c>
      <c r="CC7" s="29" t="s">
        <v>65</v>
      </c>
      <c r="CD7" s="29" t="s">
        <v>66</v>
      </c>
      <c r="CE7" s="29" t="s">
        <v>67</v>
      </c>
      <c r="CF7" s="29" t="s">
        <v>68</v>
      </c>
      <c r="CG7" s="29" t="s">
        <v>69</v>
      </c>
      <c r="CH7" s="50"/>
      <c r="CI7" s="66" t="s">
        <v>44</v>
      </c>
      <c r="CJ7" s="66" t="s">
        <v>70</v>
      </c>
      <c r="CK7" s="66" t="s">
        <v>60</v>
      </c>
      <c r="CL7" s="73" t="s">
        <v>71</v>
      </c>
      <c r="CM7" s="74" t="s">
        <v>72</v>
      </c>
      <c r="CN7" s="75" t="s">
        <v>73</v>
      </c>
      <c r="CO7" s="76" t="s">
        <v>73</v>
      </c>
      <c r="CP7" s="74" t="s">
        <v>70</v>
      </c>
      <c r="CQ7" s="75" t="s">
        <v>70</v>
      </c>
      <c r="CR7" s="75" t="s">
        <v>73</v>
      </c>
      <c r="CS7" s="77" t="s">
        <v>73</v>
      </c>
      <c r="CT7" s="73" t="s">
        <v>70</v>
      </c>
      <c r="CU7" s="75" t="s">
        <v>70</v>
      </c>
      <c r="CV7" s="75" t="s">
        <v>73</v>
      </c>
      <c r="CW7" s="76" t="s">
        <v>73</v>
      </c>
      <c r="CX7" s="73" t="s">
        <v>70</v>
      </c>
      <c r="CY7" s="75" t="s">
        <v>70</v>
      </c>
      <c r="CZ7" s="77" t="s">
        <v>73</v>
      </c>
      <c r="DA7" s="76" t="s">
        <v>73</v>
      </c>
      <c r="DB7" s="49" t="s">
        <v>62</v>
      </c>
      <c r="DC7" s="29" t="s">
        <v>63</v>
      </c>
      <c r="DD7" s="223" t="s">
        <v>64</v>
      </c>
      <c r="DE7" s="224"/>
      <c r="DF7" s="29" t="s">
        <v>34</v>
      </c>
      <c r="DG7" s="50" t="s">
        <v>74</v>
      </c>
    </row>
    <row r="8" spans="3:111" ht="15" customHeight="1">
      <c r="C8" s="14" t="s">
        <v>75</v>
      </c>
      <c r="D8" s="22" t="s">
        <v>76</v>
      </c>
      <c r="F8" s="211" t="s">
        <v>77</v>
      </c>
      <c r="G8" s="212"/>
      <c r="H8" s="212"/>
      <c r="I8" s="213"/>
      <c r="J8" s="1" t="s">
        <v>78</v>
      </c>
      <c r="K8" s="1">
        <v>3</v>
      </c>
      <c r="L8" s="3">
        <v>1</v>
      </c>
      <c r="M8" s="1">
        <v>1</v>
      </c>
      <c r="N8" s="25" t="s">
        <v>79</v>
      </c>
      <c r="O8" s="130">
        <f>+$D$10</f>
        <v>1</v>
      </c>
      <c r="P8" s="131">
        <f t="shared" ref="P8:Q15" si="0">+H$19</f>
        <v>0</v>
      </c>
      <c r="Q8" s="131">
        <f t="shared" si="0"/>
        <v>0</v>
      </c>
      <c r="R8" s="132" t="s">
        <v>23</v>
      </c>
      <c r="S8" s="131" t="str">
        <f t="shared" ref="S8:S28" si="1">+IF(I$9="N","N","BE")</f>
        <v>BE</v>
      </c>
      <c r="T8" s="131">
        <f t="shared" ref="T8:T13" si="2">+$D$13</f>
        <v>1400</v>
      </c>
      <c r="U8" s="131">
        <f t="shared" ref="U8:U13" si="3">+$D$14</f>
        <v>2150</v>
      </c>
      <c r="V8" s="133">
        <f t="shared" ref="V8:V28" si="4">+T8*U8/1000000</f>
        <v>3.01</v>
      </c>
      <c r="W8" s="132">
        <v>92.2</v>
      </c>
      <c r="X8" s="132">
        <v>149.4</v>
      </c>
      <c r="Y8" s="132">
        <v>149.4</v>
      </c>
      <c r="Z8" s="134">
        <f>+$D$21</f>
        <v>1.1000000000000001</v>
      </c>
      <c r="AA8" s="135">
        <v>6.1</v>
      </c>
      <c r="AB8" s="136">
        <v>6.1</v>
      </c>
      <c r="AC8" s="137">
        <v>6.1</v>
      </c>
      <c r="AD8" s="135">
        <v>6.1</v>
      </c>
      <c r="AE8" s="136">
        <v>6.1</v>
      </c>
      <c r="AF8" s="137">
        <v>6.1</v>
      </c>
      <c r="AG8" s="138">
        <f>+IF($D$12="SI",AD8,AA8)</f>
        <v>6.1</v>
      </c>
      <c r="AH8" s="132">
        <f t="shared" ref="AH8:AH28" si="5">+IF($D$12="SI",AE8,AB8)</f>
        <v>6.1</v>
      </c>
      <c r="AI8" s="134">
        <f t="shared" ref="AI8:AI28" si="6">+IF($D$12="SI",AF8,AC8)</f>
        <v>6.1</v>
      </c>
      <c r="AJ8" s="139">
        <f t="shared" ref="AJ8:AJ28" si="7">+(T8*U8)/1000000-AK8-AL8-AM8</f>
        <v>2.3893833599999996</v>
      </c>
      <c r="AK8" s="139">
        <f t="shared" ref="AK8:AK28" si="8">+(T8*U8-(T8-2*W8)*(U8-2*W8))/1000000</f>
        <v>0.62061664000000016</v>
      </c>
      <c r="AL8" s="139">
        <f t="shared" ref="AL8:AL15" si="9">+(U8-2*W8)/1000000*X8*P8</f>
        <v>0</v>
      </c>
      <c r="AM8" s="139">
        <f t="shared" ref="AM8:AM28" si="10">+(U8-2*W8)/1000000*Y8*Q8</f>
        <v>0</v>
      </c>
      <c r="AN8" s="139">
        <f t="shared" ref="AN8:AN28" si="11">+(Z8*AJ8+AG8*AK8+AL8*AH8+AI8*AM8)/(AJ8+AK8+AL8+AM8)</f>
        <v>2.1309246511627911</v>
      </c>
      <c r="AO8" s="140">
        <f t="shared" ref="AO8:AO25" si="12">+IF(R8="NO",0,IF(S8="BE",0.08,0.06))</f>
        <v>0</v>
      </c>
      <c r="AP8" s="141">
        <f t="shared" ref="AP8:AP28" si="13">+AO8*((T8-2*W8-P8*X8-Q8*Y8)/1000*2+(U8-2*W8)/1000*2*(P8+Q8+1))/(AJ8+AK8+AL8+AM8)</f>
        <v>0</v>
      </c>
      <c r="AQ8" s="142">
        <f>+AN8</f>
        <v>2.1309246511627911</v>
      </c>
      <c r="AR8" s="1">
        <f>+DB8</f>
        <v>4</v>
      </c>
      <c r="AT8" s="49"/>
      <c r="AU8" s="29"/>
      <c r="AV8" s="29"/>
      <c r="AW8" s="48">
        <f>+AT8*AU8/1000000</f>
        <v>0</v>
      </c>
      <c r="AX8" s="29"/>
      <c r="AY8" s="29"/>
      <c r="AZ8" s="29"/>
      <c r="BA8" s="50"/>
      <c r="BB8" s="49"/>
      <c r="BC8" s="29"/>
      <c r="BD8" s="29"/>
      <c r="BE8" s="48">
        <f>+BB8*BC8/1000000</f>
        <v>0</v>
      </c>
      <c r="BF8" s="29"/>
      <c r="BG8" s="29"/>
      <c r="BH8" s="29"/>
      <c r="BI8" s="50"/>
      <c r="BJ8" s="49">
        <v>1400</v>
      </c>
      <c r="BK8" s="29">
        <v>1500</v>
      </c>
      <c r="BL8" s="29">
        <v>2</v>
      </c>
      <c r="BM8" s="48">
        <f>+BJ8*BK8/1000000</f>
        <v>2.1</v>
      </c>
      <c r="BN8" s="29">
        <v>4</v>
      </c>
      <c r="BO8" s="29" t="s">
        <v>80</v>
      </c>
      <c r="BP8" s="29" t="s">
        <v>81</v>
      </c>
      <c r="BQ8" s="50">
        <v>4</v>
      </c>
      <c r="BR8" s="49">
        <v>1600</v>
      </c>
      <c r="BS8" s="29">
        <v>2100</v>
      </c>
      <c r="BT8" s="29">
        <v>2</v>
      </c>
      <c r="BU8" s="48">
        <f>+BR8*BS8/1000000</f>
        <v>3.36</v>
      </c>
      <c r="BV8" s="29">
        <v>4</v>
      </c>
      <c r="BW8" s="29" t="s">
        <v>82</v>
      </c>
      <c r="BX8" s="29" t="s">
        <v>81</v>
      </c>
      <c r="BY8" s="50">
        <v>2</v>
      </c>
      <c r="BZ8" s="49">
        <v>1400</v>
      </c>
      <c r="CA8" s="29">
        <v>1500</v>
      </c>
      <c r="CB8" s="29">
        <f>+BZ8*CA8/1000000</f>
        <v>2.1</v>
      </c>
      <c r="CC8" s="29">
        <v>31</v>
      </c>
      <c r="CD8" s="29">
        <v>29</v>
      </c>
      <c r="CE8" s="29">
        <v>34</v>
      </c>
      <c r="CF8" s="29">
        <v>33</v>
      </c>
      <c r="CG8" s="29">
        <f t="shared" ref="CG8:CG28" si="14">+V8/CB8*100</f>
        <v>143.33333333333331</v>
      </c>
      <c r="CH8" s="50">
        <f>+IF(CG8&lt;150,0,IF(CG8&lt;200,1,IF(CG8&lt;250,2,3)))</f>
        <v>0</v>
      </c>
      <c r="CI8" s="67">
        <f t="shared" ref="CI8:CI28" si="15">+U8</f>
        <v>2150</v>
      </c>
      <c r="CJ8" s="69">
        <f t="shared" ref="CJ8:CJ28" si="16">+V8</f>
        <v>3.01</v>
      </c>
      <c r="CK8" s="71">
        <f>+$J$19</f>
        <v>1</v>
      </c>
      <c r="CL8" s="49" t="str">
        <f>+IF(OR(CJ8&gt;AW8*1.5,CK8&gt;AV8)=TRUE,"0",AX8)</f>
        <v>0</v>
      </c>
      <c r="CM8" s="29">
        <f>VALUE(IF(OR(CJ8&gt;AW8*1.5,CK8&gt;AV8)=TRUE,"0",IF(LEN(AY8)=2,MID(AY8,1,1),MID(AY8,2,4))))</f>
        <v>0</v>
      </c>
      <c r="CN8" s="29" t="str">
        <f>+IF(OR(CI8&gt;AU8,CJ8&gt;AW8,CK8&gt;AV8)=TRUE,"0",AZ8)</f>
        <v>0</v>
      </c>
      <c r="CO8" s="50" t="str">
        <f>+IF(OR(CI8&gt;AU8,CJ8&gt;AW8,CK8&gt;AV8)=TRUE,"0",BA8)</f>
        <v>0</v>
      </c>
      <c r="CP8" s="195" t="str">
        <f>+IF(OR(CJ8&gt;BE8*1.5,CK8&gt;BD8)=TRUE,"0",BF8)</f>
        <v>0</v>
      </c>
      <c r="CQ8" s="29">
        <f>VALUE(IF(OR(CJ8&gt;BE8*1.5,CK8&gt;BD8)=TRUE,"0",IF(LEN(BG8)=2,MID(BG8,1,1),MID(BG8,2,4))))</f>
        <v>0</v>
      </c>
      <c r="CR8" s="29" t="str">
        <f>+IF(OR(CI8&gt;BC8,CJ8&gt;BE8,CK8&gt;BD8)=TRUE,"0",BH8)</f>
        <v>0</v>
      </c>
      <c r="CS8" s="194" t="str">
        <f>+IF(OR(CI8&gt;BC8,CJ8&gt;BE8,CK8&gt;BD8)=TRUE,"0",BI8)</f>
        <v>0</v>
      </c>
      <c r="CT8" s="49">
        <f>+IF(OR(CJ8&gt;BM8*1.5,CK8&gt;BL8)=TRUE,"0",BN8)</f>
        <v>4</v>
      </c>
      <c r="CU8" s="29">
        <f>VALUE(IF(OR(CJ8&gt;BM8*1.5,CK8&gt;BL8)=TRUE,"0",IF(LEN(BO8)=2,MID(BO8,1,1),MID(BO8,2,4))))</f>
        <v>1350</v>
      </c>
      <c r="CV8" s="29" t="str">
        <f>+IF(OR(CI8&gt;BK8,CJ8&gt;BM8,CK8&gt;BL8)=TRUE,"0",BP8)</f>
        <v>0</v>
      </c>
      <c r="CW8" s="50" t="str">
        <f>+IF(OR(CI8&gt;BK8,CJ8&gt;BM8,CK8&gt;BL8)=TRUE,"0",BQ8)</f>
        <v>0</v>
      </c>
      <c r="CX8" s="49">
        <f>+IF(OR(CJ8&gt;BU8*1.5,CK8&gt;BT8)=TRUE,"0",BV8)</f>
        <v>4</v>
      </c>
      <c r="CY8" s="29">
        <f>VALUE(IF(OR(CJ8&gt;BU8*1.5,CK8&gt;BT8)=TRUE,"0",IF(LEN(BW8)=2,MID(BW8,1,1),MID(BW8,2,4))))</f>
        <v>7</v>
      </c>
      <c r="CZ8" s="29" t="str">
        <f>+IF(OR(CI8&gt;BS8,CJ8&gt;BU8,CK8&gt;BT8)=TRUE,"0",BX8)</f>
        <v>0</v>
      </c>
      <c r="DA8" s="50" t="str">
        <f>+IF(OR(CI8&gt;BS8,CJ8&gt;BU8,CK8&gt;BT8)=TRUE,"0",BY8)</f>
        <v>0</v>
      </c>
      <c r="DB8" s="49">
        <f>IF(MAX(CL8,CP8,CT8,CX8)=0,"NPD",MAX(CL8,CP8,CT8,CX8))</f>
        <v>4</v>
      </c>
      <c r="DC8" s="29" t="str">
        <f>IF(MAX(CM8,CQ8,CU8,CY8)&gt;10,"E"&amp;MAX(CM8,CQ8,CU8,CY8),IF(MAX(CM8,CQ8,CU8,CY8)=0,"NPD",MAX(CM8,CQ8,CU8,CY8)&amp;"A"))</f>
        <v>E1350</v>
      </c>
      <c r="DD8" s="29" t="str">
        <f>+IF(OR(CN8="C",CR8="C",CV8="C",CZ8="C")=TRUE,"C",IF(OR(CN8="B",CR8="B",CV8="B",CZ8="B")=TRUE,"B",IF(OR(CN8="A",CR8="A",CV8="A",CZ8="A")=TRUE,"A","B")))</f>
        <v>B</v>
      </c>
      <c r="DE8" s="29" t="str">
        <f>IF(MAX(CO8,CS8,CW8,DA8)=0,"1",MAX(CO8,CS8,CW8,DA8))</f>
        <v>1</v>
      </c>
      <c r="DF8" s="29">
        <f t="shared" ref="DF8:DF28" si="17">+IF(D$22&lt;CD8,"NPD",IF(D$22&lt;CF8,CC8-CH8,CE8-CH8))</f>
        <v>34</v>
      </c>
      <c r="DG8" s="47">
        <f>+AN8</f>
        <v>2.1309246511627911</v>
      </c>
    </row>
    <row r="9" spans="3:111" ht="15" customHeight="1" thickBot="1">
      <c r="C9" s="15" t="s">
        <v>83</v>
      </c>
      <c r="D9" s="11" t="s">
        <v>84</v>
      </c>
      <c r="F9" s="214" t="s">
        <v>85</v>
      </c>
      <c r="G9" s="215"/>
      <c r="H9" s="216"/>
      <c r="I9" s="217"/>
      <c r="J9" s="1" t="s">
        <v>86</v>
      </c>
      <c r="K9" s="1">
        <v>4</v>
      </c>
      <c r="L9" s="3">
        <v>3</v>
      </c>
      <c r="M9" s="1">
        <v>0</v>
      </c>
      <c r="N9" s="26" t="s">
        <v>87</v>
      </c>
      <c r="O9" s="41">
        <f t="shared" ref="O9:O28" si="18">+$D$10</f>
        <v>1</v>
      </c>
      <c r="P9" s="36">
        <f t="shared" si="0"/>
        <v>0</v>
      </c>
      <c r="Q9" s="36">
        <f t="shared" si="0"/>
        <v>0</v>
      </c>
      <c r="R9" s="37" t="s">
        <v>23</v>
      </c>
      <c r="S9" s="37" t="str">
        <f t="shared" si="1"/>
        <v>BE</v>
      </c>
      <c r="T9" s="37">
        <f t="shared" si="2"/>
        <v>1400</v>
      </c>
      <c r="U9" s="37">
        <f t="shared" si="3"/>
        <v>2150</v>
      </c>
      <c r="V9" s="97">
        <f t="shared" si="4"/>
        <v>3.01</v>
      </c>
      <c r="W9" s="37">
        <v>95.5</v>
      </c>
      <c r="X9" s="37">
        <v>152.30000000000001</v>
      </c>
      <c r="Y9" s="37">
        <v>152.30000000000001</v>
      </c>
      <c r="Z9" s="102">
        <f t="shared" ref="Z9:Z28" si="19">+$D$21</f>
        <v>1.1000000000000001</v>
      </c>
      <c r="AA9" s="110">
        <v>6.1</v>
      </c>
      <c r="AB9" s="56">
        <v>6.2</v>
      </c>
      <c r="AC9" s="111">
        <v>6.2</v>
      </c>
      <c r="AD9" s="110">
        <v>6.1</v>
      </c>
      <c r="AE9" s="56">
        <v>6.2</v>
      </c>
      <c r="AF9" s="111">
        <v>6.2</v>
      </c>
      <c r="AG9" s="105">
        <f t="shared" ref="AG9:AG28" si="20">+IF($D$12="SI",AD9,AA9)</f>
        <v>6.1</v>
      </c>
      <c r="AH9" s="37">
        <f t="shared" si="5"/>
        <v>6.2</v>
      </c>
      <c r="AI9" s="102">
        <f t="shared" si="6"/>
        <v>6.2</v>
      </c>
      <c r="AJ9" s="38">
        <f t="shared" si="7"/>
        <v>2.3684309999999997</v>
      </c>
      <c r="AK9" s="38">
        <f t="shared" si="8"/>
        <v>0.64156899999999994</v>
      </c>
      <c r="AL9" s="38">
        <f t="shared" si="9"/>
        <v>0</v>
      </c>
      <c r="AM9" s="38">
        <f t="shared" si="10"/>
        <v>0</v>
      </c>
      <c r="AN9" s="38">
        <f t="shared" si="11"/>
        <v>2.1657292358803986</v>
      </c>
      <c r="AO9" s="39">
        <f t="shared" si="12"/>
        <v>0</v>
      </c>
      <c r="AP9" s="92">
        <f t="shared" si="13"/>
        <v>0</v>
      </c>
      <c r="AQ9" s="94">
        <f t="shared" ref="AQ9:AQ28" si="21">+AN9</f>
        <v>2.1657292358803986</v>
      </c>
      <c r="AR9" s="1">
        <f t="shared" ref="AR9:AR28" si="22">+DB9</f>
        <v>4</v>
      </c>
      <c r="AT9" s="49"/>
      <c r="AU9" s="29"/>
      <c r="AV9" s="29"/>
      <c r="AW9" s="48">
        <f t="shared" ref="AW9:AW28" si="23">+AT9*AU9/1000000</f>
        <v>0</v>
      </c>
      <c r="AX9" s="29"/>
      <c r="AY9" s="29"/>
      <c r="AZ9" s="29"/>
      <c r="BA9" s="50"/>
      <c r="BB9" s="49"/>
      <c r="BC9" s="29"/>
      <c r="BD9" s="29"/>
      <c r="BE9" s="48">
        <f t="shared" ref="BE9:BE28" si="24">+BB9*BC9/1000000</f>
        <v>0</v>
      </c>
      <c r="BF9" s="29"/>
      <c r="BG9" s="29"/>
      <c r="BH9" s="29"/>
      <c r="BI9" s="50"/>
      <c r="BJ9" s="49">
        <v>1400</v>
      </c>
      <c r="BK9" s="29">
        <v>1500</v>
      </c>
      <c r="BL9" s="29">
        <v>2</v>
      </c>
      <c r="BM9" s="48">
        <f t="shared" ref="BM9:BM28" si="25">+BJ9*BK9/1000000</f>
        <v>2.1</v>
      </c>
      <c r="BN9" s="29">
        <v>4</v>
      </c>
      <c r="BO9" s="29" t="s">
        <v>88</v>
      </c>
      <c r="BP9" s="29" t="s">
        <v>81</v>
      </c>
      <c r="BQ9" s="50">
        <v>4</v>
      </c>
      <c r="BR9" s="49">
        <v>1600</v>
      </c>
      <c r="BS9" s="29">
        <v>2100</v>
      </c>
      <c r="BT9" s="29">
        <v>2</v>
      </c>
      <c r="BU9" s="48">
        <f t="shared" ref="BU9:BU28" si="26">+BR9*BS9/1000000</f>
        <v>3.36</v>
      </c>
      <c r="BV9" s="29">
        <v>4</v>
      </c>
      <c r="BW9" s="29" t="s">
        <v>88</v>
      </c>
      <c r="BX9" s="29" t="s">
        <v>81</v>
      </c>
      <c r="BY9" s="50">
        <v>2</v>
      </c>
      <c r="BZ9" s="49">
        <v>1400</v>
      </c>
      <c r="CA9" s="29">
        <v>1500</v>
      </c>
      <c r="CB9" s="29">
        <f t="shared" ref="CB9:CB28" si="27">+BZ9*CA9/1000000</f>
        <v>2.1</v>
      </c>
      <c r="CC9" s="29">
        <v>30</v>
      </c>
      <c r="CD9" s="29">
        <v>29</v>
      </c>
      <c r="CE9" s="29">
        <v>33</v>
      </c>
      <c r="CF9" s="29">
        <v>33</v>
      </c>
      <c r="CG9" s="29">
        <f t="shared" si="14"/>
        <v>143.33333333333331</v>
      </c>
      <c r="CH9" s="50">
        <f t="shared" ref="CH9:CH28" si="28">+IF(CG9&lt;150,0,IF(CG9&lt;200,1,IF(CG9&lt;250,2,3)))</f>
        <v>0</v>
      </c>
      <c r="CI9" s="67">
        <f t="shared" si="15"/>
        <v>2150</v>
      </c>
      <c r="CJ9" s="69">
        <f t="shared" si="16"/>
        <v>3.01</v>
      </c>
      <c r="CK9" s="71">
        <f t="shared" ref="CK9:CK28" si="29">+$J$19</f>
        <v>1</v>
      </c>
      <c r="CL9" s="49" t="str">
        <f t="shared" ref="CL9:CL28" si="30">+IF(OR(CJ9&gt;AW9*1.5,CK9&gt;AV9)=TRUE,"0",AX9)</f>
        <v>0</v>
      </c>
      <c r="CM9" s="29">
        <f t="shared" ref="CM9:CM28" si="31">VALUE(IF(OR(CJ9&gt;AW9*1.5,CK9&gt;AV9)=TRUE,"0",IF(LEN(AY9)=2,MID(AY9,1,1),MID(AY9,2,4))))</f>
        <v>0</v>
      </c>
      <c r="CN9" s="29" t="str">
        <f t="shared" ref="CN9:CN28" si="32">+IF(OR(CI9&gt;AU9,CJ9&gt;AW9,CK9&gt;AV9)=TRUE,"0",AZ9)</f>
        <v>0</v>
      </c>
      <c r="CO9" s="50" t="str">
        <f t="shared" ref="CO9:CO28" si="33">+IF(OR(CI9&gt;AU9,CJ9&gt;AW9,CK9&gt;AV9)=TRUE,"0",BA9)</f>
        <v>0</v>
      </c>
      <c r="CP9" s="195" t="str">
        <f t="shared" ref="CP9:CP28" si="34">+IF(OR(CJ9&gt;BE9*1.5,CK9&gt;BD9)=TRUE,"0",BF9)</f>
        <v>0</v>
      </c>
      <c r="CQ9" s="29">
        <f t="shared" ref="CQ9:CQ28" si="35">VALUE(IF(OR(CJ9&gt;BE9*1.5,CK9&gt;BD9)=TRUE,"0",IF(LEN(BG9)=2,MID(BG9,1,1),MID(BG9,2,4))))</f>
        <v>0</v>
      </c>
      <c r="CR9" s="29" t="str">
        <f t="shared" ref="CR9:CR28" si="36">+IF(OR(CI9&gt;BC9,CJ9&gt;BE9,CK9&gt;BD9)=TRUE,"0",BH9)</f>
        <v>0</v>
      </c>
      <c r="CS9" s="194" t="str">
        <f t="shared" ref="CS9:CS28" si="37">+IF(OR(CI9&gt;BC9,CJ9&gt;BE9,CK9&gt;BD9)=TRUE,"0",BI9)</f>
        <v>0</v>
      </c>
      <c r="CT9" s="49">
        <f t="shared" ref="CT9:CT28" si="38">+IF(OR(CJ9&gt;BM9*1.5,CK9&gt;BL9)=TRUE,"0",BN9)</f>
        <v>4</v>
      </c>
      <c r="CU9" s="29">
        <f t="shared" ref="CU9:CU28" si="39">VALUE(IF(OR(CJ9&gt;BM9*1.5,CK9&gt;BL9)=TRUE,"0",IF(LEN(BO9)=2,MID(BO9,1,1),MID(BO9,2,4))))</f>
        <v>9</v>
      </c>
      <c r="CV9" s="29" t="str">
        <f t="shared" ref="CV9:CV28" si="40">+IF(OR(CI9&gt;BK9,CJ9&gt;BM9,CK9&gt;BL9)=TRUE,"0",BP9)</f>
        <v>0</v>
      </c>
      <c r="CW9" s="50" t="str">
        <f t="shared" ref="CW9:CW28" si="41">+IF(OR(CI9&gt;BK9,CJ9&gt;BM9,CK9&gt;BL9)=TRUE,"0",BQ9)</f>
        <v>0</v>
      </c>
      <c r="CX9" s="49">
        <f t="shared" ref="CX9:CX28" si="42">+IF(OR(CJ9&gt;BU9*1.5,CK9&gt;BT9)=TRUE,"0",BV9)</f>
        <v>4</v>
      </c>
      <c r="CY9" s="29">
        <f t="shared" ref="CY9:CY28" si="43">VALUE(IF(OR(CJ9&gt;BU9*1.5,CK9&gt;BT9)=TRUE,"0",IF(LEN(BW9)=2,MID(BW9,1,1),MID(BW9,2,4))))</f>
        <v>9</v>
      </c>
      <c r="CZ9" s="29" t="str">
        <f t="shared" ref="CZ9:CZ28" si="44">+IF(OR(CI9&gt;BS9,CJ9&gt;BU9,CK9&gt;BT9)=TRUE,"0",BX9)</f>
        <v>0</v>
      </c>
      <c r="DA9" s="50" t="str">
        <f t="shared" ref="DA9:DA28" si="45">+IF(OR(CI9&gt;BS9,CJ9&gt;BU9,CK9&gt;BT9)=TRUE,"0",BY9)</f>
        <v>0</v>
      </c>
      <c r="DB9" s="49">
        <f t="shared" ref="DB9:DB28" si="46">IF(MAX(CL9,CP9,CT9,CX9)=0,"NPD",MAX(CL9,CP9,CT9,CX9))</f>
        <v>4</v>
      </c>
      <c r="DC9" s="29" t="str">
        <f t="shared" ref="DC9:DC28" si="47">IF(MAX(CM9,CQ9,CU9,CY9)&gt;10,"E"&amp;MAX(CM9,CQ9,CU9,CY9),IF(MAX(CM9,CQ9,CU9,CY9)=0,"NPD",MAX(CM9,CQ9,CU9,CY9)&amp;"A"))</f>
        <v>9A</v>
      </c>
      <c r="DD9" s="29" t="str">
        <f t="shared" ref="DD9:DD20" si="48">+IF(OR(CN9="C",CR9="C",CV9="C",CZ9="C")=TRUE,"C",IF(OR(CN9="B",CR9="B",CV9="B",CZ9="B")=TRUE,"B",IF(OR(CN9="A",CR9="A",CV9="A",CZ9="A")=TRUE,"A","B")))</f>
        <v>B</v>
      </c>
      <c r="DE9" s="29" t="str">
        <f t="shared" ref="DE9:DE22" si="49">IF(MAX(CO9,CS9,CW9,DA9)=0,"1",MAX(CO9,CS9,CW9,DA9))</f>
        <v>1</v>
      </c>
      <c r="DF9" s="29">
        <f t="shared" si="17"/>
        <v>33</v>
      </c>
      <c r="DG9" s="47">
        <f t="shared" ref="DG9:DG28" si="50">+AN9</f>
        <v>2.1657292358803986</v>
      </c>
    </row>
    <row r="10" spans="3:111" ht="15" customHeight="1">
      <c r="C10" s="15" t="s">
        <v>89</v>
      </c>
      <c r="D10" s="11">
        <v>1</v>
      </c>
      <c r="F10" s="150" t="s">
        <v>90</v>
      </c>
      <c r="G10" s="151">
        <v>0.5</v>
      </c>
      <c r="J10" s="1" t="s">
        <v>91</v>
      </c>
      <c r="K10" s="1">
        <v>4</v>
      </c>
      <c r="L10" s="3">
        <v>2</v>
      </c>
      <c r="M10" s="1">
        <v>1</v>
      </c>
      <c r="N10" s="26" t="s">
        <v>92</v>
      </c>
      <c r="O10" s="41">
        <f t="shared" si="18"/>
        <v>1</v>
      </c>
      <c r="P10" s="36">
        <f t="shared" si="0"/>
        <v>0</v>
      </c>
      <c r="Q10" s="36">
        <f t="shared" si="0"/>
        <v>0</v>
      </c>
      <c r="R10" s="37" t="s">
        <v>21</v>
      </c>
      <c r="S10" s="37" t="str">
        <f t="shared" si="1"/>
        <v>BE</v>
      </c>
      <c r="T10" s="37">
        <f t="shared" si="2"/>
        <v>1400</v>
      </c>
      <c r="U10" s="37">
        <f t="shared" si="3"/>
        <v>2150</v>
      </c>
      <c r="V10" s="97">
        <f t="shared" si="4"/>
        <v>3.01</v>
      </c>
      <c r="W10" s="37">
        <v>93.5</v>
      </c>
      <c r="X10" s="37">
        <v>143.19999999999999</v>
      </c>
      <c r="Y10" s="37">
        <v>143.19999999999999</v>
      </c>
      <c r="Z10" s="102">
        <f t="shared" si="19"/>
        <v>1.1000000000000001</v>
      </c>
      <c r="AA10" s="110">
        <v>3.5</v>
      </c>
      <c r="AB10" s="56">
        <v>3.5</v>
      </c>
      <c r="AC10" s="111">
        <v>3.5</v>
      </c>
      <c r="AD10" s="110">
        <v>3.2</v>
      </c>
      <c r="AE10" s="56">
        <v>3.3</v>
      </c>
      <c r="AF10" s="111">
        <v>3.3</v>
      </c>
      <c r="AG10" s="105">
        <f t="shared" si="20"/>
        <v>3.2</v>
      </c>
      <c r="AH10" s="37">
        <f t="shared" si="5"/>
        <v>3.3</v>
      </c>
      <c r="AI10" s="102">
        <f t="shared" si="6"/>
        <v>3.3</v>
      </c>
      <c r="AJ10" s="38">
        <f t="shared" si="7"/>
        <v>2.381119</v>
      </c>
      <c r="AK10" s="38">
        <f t="shared" si="8"/>
        <v>0.62888100000000002</v>
      </c>
      <c r="AL10" s="38">
        <f t="shared" si="9"/>
        <v>0</v>
      </c>
      <c r="AM10" s="38">
        <f t="shared" si="10"/>
        <v>0</v>
      </c>
      <c r="AN10" s="38">
        <f t="shared" si="11"/>
        <v>1.5387541860465117</v>
      </c>
      <c r="AO10" s="39">
        <f t="shared" si="12"/>
        <v>0.08</v>
      </c>
      <c r="AP10" s="92">
        <f t="shared" si="13"/>
        <v>0.16882392026578077</v>
      </c>
      <c r="AQ10" s="94">
        <f t="shared" si="21"/>
        <v>1.5387541860465117</v>
      </c>
      <c r="AR10" s="1">
        <f t="shared" si="22"/>
        <v>4</v>
      </c>
      <c r="AT10" s="49">
        <v>2900</v>
      </c>
      <c r="AU10" s="29">
        <v>2300</v>
      </c>
      <c r="AV10" s="29">
        <v>4</v>
      </c>
      <c r="AW10" s="48">
        <f t="shared" si="23"/>
        <v>6.67</v>
      </c>
      <c r="AX10" s="29">
        <v>4</v>
      </c>
      <c r="AY10" s="29" t="s">
        <v>93</v>
      </c>
      <c r="AZ10" s="29" t="s">
        <v>81</v>
      </c>
      <c r="BA10" s="50">
        <v>1</v>
      </c>
      <c r="BB10" s="49">
        <v>820</v>
      </c>
      <c r="BC10" s="29">
        <v>2100</v>
      </c>
      <c r="BD10" s="29">
        <v>1</v>
      </c>
      <c r="BE10" s="48">
        <f t="shared" si="24"/>
        <v>1.722</v>
      </c>
      <c r="BF10" s="29">
        <v>4</v>
      </c>
      <c r="BG10" s="29" t="s">
        <v>94</v>
      </c>
      <c r="BH10" s="29" t="s">
        <v>81</v>
      </c>
      <c r="BI10" s="50">
        <v>5</v>
      </c>
      <c r="BJ10" s="49">
        <v>1400</v>
      </c>
      <c r="BK10" s="29">
        <v>1500</v>
      </c>
      <c r="BL10" s="29">
        <v>2</v>
      </c>
      <c r="BM10" s="48">
        <f t="shared" si="25"/>
        <v>2.1</v>
      </c>
      <c r="BN10" s="29">
        <v>4</v>
      </c>
      <c r="BO10" s="29" t="s">
        <v>95</v>
      </c>
      <c r="BP10" s="29" t="s">
        <v>81</v>
      </c>
      <c r="BQ10" s="50">
        <v>4</v>
      </c>
      <c r="BR10" s="49">
        <v>1600</v>
      </c>
      <c r="BS10" s="29">
        <v>2100</v>
      </c>
      <c r="BT10" s="29">
        <v>2</v>
      </c>
      <c r="BU10" s="48">
        <f t="shared" si="26"/>
        <v>3.36</v>
      </c>
      <c r="BV10" s="29">
        <v>4</v>
      </c>
      <c r="BW10" s="29" t="s">
        <v>82</v>
      </c>
      <c r="BX10" s="29" t="s">
        <v>81</v>
      </c>
      <c r="BY10" s="50">
        <v>2</v>
      </c>
      <c r="BZ10" s="49">
        <v>1400</v>
      </c>
      <c r="CA10" s="29">
        <v>1500</v>
      </c>
      <c r="CB10" s="29">
        <f t="shared" si="27"/>
        <v>2.1</v>
      </c>
      <c r="CC10" s="29">
        <v>33</v>
      </c>
      <c r="CD10" s="29">
        <v>29</v>
      </c>
      <c r="CE10" s="29">
        <v>36</v>
      </c>
      <c r="CF10" s="29">
        <v>33</v>
      </c>
      <c r="CG10" s="29">
        <f t="shared" si="14"/>
        <v>143.33333333333331</v>
      </c>
      <c r="CH10" s="50">
        <f t="shared" si="28"/>
        <v>0</v>
      </c>
      <c r="CI10" s="67">
        <f t="shared" si="15"/>
        <v>2150</v>
      </c>
      <c r="CJ10" s="69">
        <f t="shared" si="16"/>
        <v>3.01</v>
      </c>
      <c r="CK10" s="71">
        <f t="shared" si="29"/>
        <v>1</v>
      </c>
      <c r="CL10" s="49">
        <f t="shared" si="30"/>
        <v>4</v>
      </c>
      <c r="CM10" s="29">
        <f t="shared" si="31"/>
        <v>6</v>
      </c>
      <c r="CN10" s="29" t="str">
        <f t="shared" si="32"/>
        <v>C</v>
      </c>
      <c r="CO10" s="50">
        <f t="shared" si="33"/>
        <v>1</v>
      </c>
      <c r="CP10" s="195" t="str">
        <f t="shared" si="34"/>
        <v>0</v>
      </c>
      <c r="CQ10" s="29">
        <f t="shared" si="35"/>
        <v>0</v>
      </c>
      <c r="CR10" s="29" t="str">
        <f t="shared" si="36"/>
        <v>0</v>
      </c>
      <c r="CS10" s="194" t="str">
        <f t="shared" si="37"/>
        <v>0</v>
      </c>
      <c r="CT10" s="49">
        <f t="shared" si="38"/>
        <v>4</v>
      </c>
      <c r="CU10" s="29">
        <f t="shared" si="39"/>
        <v>8</v>
      </c>
      <c r="CV10" s="29" t="str">
        <f t="shared" si="40"/>
        <v>0</v>
      </c>
      <c r="CW10" s="50" t="str">
        <f t="shared" si="41"/>
        <v>0</v>
      </c>
      <c r="CX10" s="49">
        <f t="shared" si="42"/>
        <v>4</v>
      </c>
      <c r="CY10" s="29">
        <f t="shared" si="43"/>
        <v>7</v>
      </c>
      <c r="CZ10" s="29" t="str">
        <f t="shared" si="44"/>
        <v>0</v>
      </c>
      <c r="DA10" s="50" t="str">
        <f t="shared" si="45"/>
        <v>0</v>
      </c>
      <c r="DB10" s="49">
        <f t="shared" si="46"/>
        <v>4</v>
      </c>
      <c r="DC10" s="29" t="str">
        <f t="shared" si="47"/>
        <v>8A</v>
      </c>
      <c r="DD10" s="29" t="str">
        <f t="shared" si="48"/>
        <v>C</v>
      </c>
      <c r="DE10" s="29">
        <f t="shared" si="49"/>
        <v>1</v>
      </c>
      <c r="DF10" s="29">
        <f t="shared" si="17"/>
        <v>36</v>
      </c>
      <c r="DG10" s="47">
        <f t="shared" si="50"/>
        <v>1.5387541860465117</v>
      </c>
    </row>
    <row r="11" spans="3:111" ht="15" customHeight="1">
      <c r="C11" s="15" t="s">
        <v>96</v>
      </c>
      <c r="D11" s="11" t="s">
        <v>23</v>
      </c>
      <c r="F11" s="150" t="s">
        <v>97</v>
      </c>
      <c r="G11" s="151">
        <v>37</v>
      </c>
      <c r="L11"/>
      <c r="M11" s="18"/>
      <c r="N11" s="26" t="s">
        <v>98</v>
      </c>
      <c r="O11" s="41">
        <f t="shared" si="18"/>
        <v>1</v>
      </c>
      <c r="P11" s="36">
        <f t="shared" si="0"/>
        <v>0</v>
      </c>
      <c r="Q11" s="36">
        <f t="shared" si="0"/>
        <v>0</v>
      </c>
      <c r="R11" s="37" t="s">
        <v>21</v>
      </c>
      <c r="S11" s="37" t="str">
        <f t="shared" si="1"/>
        <v>BE</v>
      </c>
      <c r="T11" s="37">
        <f t="shared" si="2"/>
        <v>1400</v>
      </c>
      <c r="U11" s="37">
        <f t="shared" si="3"/>
        <v>2150</v>
      </c>
      <c r="V11" s="97">
        <f t="shared" si="4"/>
        <v>3.01</v>
      </c>
      <c r="W11" s="37">
        <v>93.5</v>
      </c>
      <c r="X11" s="37">
        <v>143.19999999999999</v>
      </c>
      <c r="Y11" s="37">
        <v>143.19999999999999</v>
      </c>
      <c r="Z11" s="102">
        <f t="shared" si="19"/>
        <v>1.1000000000000001</v>
      </c>
      <c r="AA11" s="110">
        <v>2.8</v>
      </c>
      <c r="AB11" s="56">
        <v>2.8</v>
      </c>
      <c r="AC11" s="111">
        <v>2.8</v>
      </c>
      <c r="AD11" s="110">
        <v>2.5</v>
      </c>
      <c r="AE11" s="56">
        <v>2.5</v>
      </c>
      <c r="AF11" s="111">
        <v>2.5</v>
      </c>
      <c r="AG11" s="105">
        <f t="shared" si="20"/>
        <v>2.5</v>
      </c>
      <c r="AH11" s="37">
        <f t="shared" si="5"/>
        <v>2.5</v>
      </c>
      <c r="AI11" s="102">
        <f t="shared" si="6"/>
        <v>2.5</v>
      </c>
      <c r="AJ11" s="38">
        <f t="shared" si="7"/>
        <v>2.381119</v>
      </c>
      <c r="AK11" s="38">
        <f t="shared" si="8"/>
        <v>0.62888100000000002</v>
      </c>
      <c r="AL11" s="38">
        <f t="shared" si="9"/>
        <v>0</v>
      </c>
      <c r="AM11" s="38">
        <f t="shared" si="10"/>
        <v>0</v>
      </c>
      <c r="AN11" s="38">
        <f t="shared" si="11"/>
        <v>1.3925027906976746</v>
      </c>
      <c r="AO11" s="39">
        <f t="shared" si="12"/>
        <v>0.08</v>
      </c>
      <c r="AP11" s="92">
        <f t="shared" si="13"/>
        <v>0.16882392026578077</v>
      </c>
      <c r="AQ11" s="94">
        <f t="shared" si="21"/>
        <v>1.3925027906976746</v>
      </c>
      <c r="AR11" s="1">
        <f t="shared" si="22"/>
        <v>4</v>
      </c>
      <c r="AT11" s="49">
        <v>2900</v>
      </c>
      <c r="AU11" s="29">
        <v>2300</v>
      </c>
      <c r="AV11" s="29">
        <v>4</v>
      </c>
      <c r="AW11" s="48">
        <f t="shared" si="23"/>
        <v>6.67</v>
      </c>
      <c r="AX11" s="29">
        <v>4</v>
      </c>
      <c r="AY11" s="29" t="s">
        <v>93</v>
      </c>
      <c r="AZ11" s="29" t="s">
        <v>81</v>
      </c>
      <c r="BA11" s="50">
        <v>2</v>
      </c>
      <c r="BB11" s="49">
        <v>820</v>
      </c>
      <c r="BC11" s="29">
        <v>2100</v>
      </c>
      <c r="BD11" s="29">
        <v>1</v>
      </c>
      <c r="BE11" s="48">
        <f t="shared" si="24"/>
        <v>1.722</v>
      </c>
      <c r="BF11" s="29">
        <v>4</v>
      </c>
      <c r="BG11" s="29" t="s">
        <v>99</v>
      </c>
      <c r="BH11" s="29" t="s">
        <v>81</v>
      </c>
      <c r="BI11" s="50">
        <v>5</v>
      </c>
      <c r="BJ11" s="49">
        <v>1400</v>
      </c>
      <c r="BK11" s="29">
        <v>1500</v>
      </c>
      <c r="BL11" s="29">
        <v>2</v>
      </c>
      <c r="BM11" s="48">
        <f t="shared" si="25"/>
        <v>2.1</v>
      </c>
      <c r="BN11" s="29">
        <v>4</v>
      </c>
      <c r="BO11" s="29" t="s">
        <v>100</v>
      </c>
      <c r="BP11" s="29" t="s">
        <v>81</v>
      </c>
      <c r="BQ11" s="50">
        <v>4</v>
      </c>
      <c r="BR11" s="49">
        <v>1600</v>
      </c>
      <c r="BS11" s="29">
        <v>2100</v>
      </c>
      <c r="BT11" s="29">
        <v>2</v>
      </c>
      <c r="BU11" s="48">
        <f t="shared" si="26"/>
        <v>3.36</v>
      </c>
      <c r="BV11" s="29">
        <v>4</v>
      </c>
      <c r="BW11" s="29" t="s">
        <v>99</v>
      </c>
      <c r="BX11" s="29" t="s">
        <v>81</v>
      </c>
      <c r="BY11" s="50">
        <v>2</v>
      </c>
      <c r="BZ11" s="49">
        <v>1400</v>
      </c>
      <c r="CA11" s="29">
        <v>1500</v>
      </c>
      <c r="CB11" s="29">
        <f t="shared" si="27"/>
        <v>2.1</v>
      </c>
      <c r="CC11" s="29">
        <v>34</v>
      </c>
      <c r="CD11" s="29">
        <v>29</v>
      </c>
      <c r="CE11" s="29">
        <v>37</v>
      </c>
      <c r="CF11" s="29">
        <v>33</v>
      </c>
      <c r="CG11" s="29">
        <f t="shared" si="14"/>
        <v>143.33333333333331</v>
      </c>
      <c r="CH11" s="50">
        <f t="shared" si="28"/>
        <v>0</v>
      </c>
      <c r="CI11" s="67">
        <f t="shared" si="15"/>
        <v>2150</v>
      </c>
      <c r="CJ11" s="69">
        <f t="shared" si="16"/>
        <v>3.01</v>
      </c>
      <c r="CK11" s="71">
        <f t="shared" si="29"/>
        <v>1</v>
      </c>
      <c r="CL11" s="49">
        <f t="shared" si="30"/>
        <v>4</v>
      </c>
      <c r="CM11" s="29">
        <f t="shared" si="31"/>
        <v>6</v>
      </c>
      <c r="CN11" s="29" t="str">
        <f t="shared" si="32"/>
        <v>C</v>
      </c>
      <c r="CO11" s="50">
        <f t="shared" si="33"/>
        <v>2</v>
      </c>
      <c r="CP11" s="195" t="str">
        <f t="shared" si="34"/>
        <v>0</v>
      </c>
      <c r="CQ11" s="29">
        <f t="shared" si="35"/>
        <v>0</v>
      </c>
      <c r="CR11" s="29" t="str">
        <f t="shared" si="36"/>
        <v>0</v>
      </c>
      <c r="CS11" s="194" t="str">
        <f t="shared" si="37"/>
        <v>0</v>
      </c>
      <c r="CT11" s="49">
        <f t="shared" si="38"/>
        <v>4</v>
      </c>
      <c r="CU11" s="29">
        <f t="shared" si="39"/>
        <v>1200</v>
      </c>
      <c r="CV11" s="29" t="str">
        <f t="shared" si="40"/>
        <v>0</v>
      </c>
      <c r="CW11" s="50" t="str">
        <f t="shared" si="41"/>
        <v>0</v>
      </c>
      <c r="CX11" s="49">
        <f t="shared" si="42"/>
        <v>4</v>
      </c>
      <c r="CY11" s="29">
        <f t="shared" si="43"/>
        <v>900</v>
      </c>
      <c r="CZ11" s="29" t="str">
        <f t="shared" si="44"/>
        <v>0</v>
      </c>
      <c r="DA11" s="50" t="str">
        <f t="shared" si="45"/>
        <v>0</v>
      </c>
      <c r="DB11" s="49">
        <f t="shared" si="46"/>
        <v>4</v>
      </c>
      <c r="DC11" s="29" t="str">
        <f t="shared" si="47"/>
        <v>E1200</v>
      </c>
      <c r="DD11" s="29" t="str">
        <f t="shared" si="48"/>
        <v>C</v>
      </c>
      <c r="DE11" s="29">
        <f t="shared" si="49"/>
        <v>2</v>
      </c>
      <c r="DF11" s="29">
        <f t="shared" si="17"/>
        <v>37</v>
      </c>
      <c r="DG11" s="47">
        <f t="shared" si="50"/>
        <v>1.3925027906976746</v>
      </c>
    </row>
    <row r="12" spans="3:111" ht="15" customHeight="1" thickBot="1">
      <c r="C12" s="15" t="s">
        <v>101</v>
      </c>
      <c r="D12" s="11" t="s">
        <v>21</v>
      </c>
      <c r="F12" s="128" t="s">
        <v>49</v>
      </c>
      <c r="G12" s="129">
        <v>1.1000000000000001</v>
      </c>
      <c r="L12" s="19"/>
      <c r="M12" s="19"/>
      <c r="N12" s="26" t="s">
        <v>102</v>
      </c>
      <c r="O12" s="41">
        <f t="shared" si="18"/>
        <v>1</v>
      </c>
      <c r="P12" s="36">
        <f t="shared" si="0"/>
        <v>0</v>
      </c>
      <c r="Q12" s="36">
        <f t="shared" si="0"/>
        <v>0</v>
      </c>
      <c r="R12" s="37" t="s">
        <v>21</v>
      </c>
      <c r="S12" s="37" t="str">
        <f t="shared" si="1"/>
        <v>BE</v>
      </c>
      <c r="T12" s="37">
        <f t="shared" si="2"/>
        <v>1400</v>
      </c>
      <c r="U12" s="37">
        <f t="shared" si="3"/>
        <v>2150</v>
      </c>
      <c r="V12" s="97">
        <f t="shared" si="4"/>
        <v>3.01</v>
      </c>
      <c r="W12" s="37">
        <v>93.5</v>
      </c>
      <c r="X12" s="37">
        <v>143.19999999999999</v>
      </c>
      <c r="Y12" s="37">
        <v>143.19999999999999</v>
      </c>
      <c r="Z12" s="102">
        <f t="shared" si="19"/>
        <v>1.1000000000000001</v>
      </c>
      <c r="AA12" s="110">
        <v>2.9</v>
      </c>
      <c r="AB12" s="56">
        <v>3</v>
      </c>
      <c r="AC12" s="111">
        <v>3</v>
      </c>
      <c r="AD12" s="110">
        <v>2.5</v>
      </c>
      <c r="AE12" s="56">
        <v>2.6</v>
      </c>
      <c r="AF12" s="111">
        <v>2.6</v>
      </c>
      <c r="AG12" s="105">
        <f t="shared" si="20"/>
        <v>2.5</v>
      </c>
      <c r="AH12" s="37">
        <f t="shared" si="5"/>
        <v>2.6</v>
      </c>
      <c r="AI12" s="102">
        <f t="shared" si="6"/>
        <v>2.6</v>
      </c>
      <c r="AJ12" s="38">
        <f t="shared" si="7"/>
        <v>2.381119</v>
      </c>
      <c r="AK12" s="38">
        <f t="shared" si="8"/>
        <v>0.62888100000000002</v>
      </c>
      <c r="AL12" s="38">
        <f t="shared" si="9"/>
        <v>0</v>
      </c>
      <c r="AM12" s="38">
        <f t="shared" si="10"/>
        <v>0</v>
      </c>
      <c r="AN12" s="38">
        <f t="shared" si="11"/>
        <v>1.3925027906976746</v>
      </c>
      <c r="AO12" s="39">
        <f t="shared" si="12"/>
        <v>0.08</v>
      </c>
      <c r="AP12" s="92">
        <f t="shared" si="13"/>
        <v>0.16882392026578077</v>
      </c>
      <c r="AQ12" s="94">
        <f t="shared" si="21"/>
        <v>1.3925027906976746</v>
      </c>
      <c r="AR12" s="1">
        <f t="shared" si="22"/>
        <v>4</v>
      </c>
      <c r="AT12" s="49"/>
      <c r="AU12" s="29"/>
      <c r="AV12" s="29"/>
      <c r="AW12" s="48">
        <f t="shared" si="23"/>
        <v>0</v>
      </c>
      <c r="AX12" s="29"/>
      <c r="AY12" s="29"/>
      <c r="AZ12" s="29"/>
      <c r="BA12" s="50"/>
      <c r="BB12" s="49">
        <v>2900</v>
      </c>
      <c r="BC12" s="29">
        <v>2300</v>
      </c>
      <c r="BD12" s="29">
        <v>4</v>
      </c>
      <c r="BE12" s="48">
        <f t="shared" si="24"/>
        <v>6.67</v>
      </c>
      <c r="BF12" s="29">
        <v>4</v>
      </c>
      <c r="BG12" s="29" t="s">
        <v>95</v>
      </c>
      <c r="BH12" s="29" t="s">
        <v>81</v>
      </c>
      <c r="BI12" s="50">
        <v>2</v>
      </c>
      <c r="BJ12" s="49">
        <v>820</v>
      </c>
      <c r="BK12" s="29">
        <v>2100</v>
      </c>
      <c r="BL12" s="29">
        <v>1</v>
      </c>
      <c r="BM12" s="48">
        <f t="shared" si="25"/>
        <v>1.722</v>
      </c>
      <c r="BN12" s="29">
        <v>4</v>
      </c>
      <c r="BO12" s="29" t="s">
        <v>80</v>
      </c>
      <c r="BP12" s="29" t="s">
        <v>81</v>
      </c>
      <c r="BQ12" s="50">
        <v>5</v>
      </c>
      <c r="BR12" s="49">
        <v>1600</v>
      </c>
      <c r="BS12" s="29">
        <v>2100</v>
      </c>
      <c r="BT12" s="29">
        <v>2</v>
      </c>
      <c r="BU12" s="48">
        <f t="shared" si="26"/>
        <v>3.36</v>
      </c>
      <c r="BV12" s="29">
        <v>4</v>
      </c>
      <c r="BW12" s="29" t="s">
        <v>103</v>
      </c>
      <c r="BX12" s="29" t="s">
        <v>81</v>
      </c>
      <c r="BY12" s="50">
        <v>3</v>
      </c>
      <c r="BZ12" s="49">
        <v>1400</v>
      </c>
      <c r="CA12" s="29">
        <v>1500</v>
      </c>
      <c r="CB12" s="29">
        <f t="shared" si="27"/>
        <v>2.1</v>
      </c>
      <c r="CC12" s="29">
        <v>33</v>
      </c>
      <c r="CD12" s="29">
        <v>29</v>
      </c>
      <c r="CE12" s="29">
        <v>37</v>
      </c>
      <c r="CF12" s="29">
        <v>33</v>
      </c>
      <c r="CG12" s="29">
        <f t="shared" si="14"/>
        <v>143.33333333333331</v>
      </c>
      <c r="CH12" s="50">
        <f t="shared" si="28"/>
        <v>0</v>
      </c>
      <c r="CI12" s="67">
        <f t="shared" si="15"/>
        <v>2150</v>
      </c>
      <c r="CJ12" s="69">
        <f t="shared" si="16"/>
        <v>3.01</v>
      </c>
      <c r="CK12" s="71">
        <f t="shared" si="29"/>
        <v>1</v>
      </c>
      <c r="CL12" s="49" t="str">
        <f t="shared" si="30"/>
        <v>0</v>
      </c>
      <c r="CM12" s="29">
        <f t="shared" si="31"/>
        <v>0</v>
      </c>
      <c r="CN12" s="29" t="str">
        <f t="shared" si="32"/>
        <v>0</v>
      </c>
      <c r="CO12" s="50" t="str">
        <f t="shared" si="33"/>
        <v>0</v>
      </c>
      <c r="CP12" s="195">
        <f t="shared" si="34"/>
        <v>4</v>
      </c>
      <c r="CQ12" s="29">
        <f t="shared" si="35"/>
        <v>8</v>
      </c>
      <c r="CR12" s="29" t="str">
        <f t="shared" si="36"/>
        <v>C</v>
      </c>
      <c r="CS12" s="194">
        <f t="shared" si="37"/>
        <v>2</v>
      </c>
      <c r="CT12" s="49" t="str">
        <f t="shared" si="38"/>
        <v>0</v>
      </c>
      <c r="CU12" s="29">
        <f t="shared" si="39"/>
        <v>0</v>
      </c>
      <c r="CV12" s="29" t="str">
        <f t="shared" si="40"/>
        <v>0</v>
      </c>
      <c r="CW12" s="50" t="str">
        <f t="shared" si="41"/>
        <v>0</v>
      </c>
      <c r="CX12" s="49">
        <f t="shared" si="42"/>
        <v>4</v>
      </c>
      <c r="CY12" s="29">
        <f t="shared" si="43"/>
        <v>1500</v>
      </c>
      <c r="CZ12" s="29" t="str">
        <f t="shared" si="44"/>
        <v>0</v>
      </c>
      <c r="DA12" s="50" t="str">
        <f t="shared" si="45"/>
        <v>0</v>
      </c>
      <c r="DB12" s="49">
        <f t="shared" si="46"/>
        <v>4</v>
      </c>
      <c r="DC12" s="29" t="str">
        <f t="shared" si="47"/>
        <v>E1500</v>
      </c>
      <c r="DD12" s="29" t="str">
        <f t="shared" si="48"/>
        <v>C</v>
      </c>
      <c r="DE12" s="29">
        <f t="shared" si="49"/>
        <v>2</v>
      </c>
      <c r="DF12" s="29">
        <f t="shared" si="17"/>
        <v>37</v>
      </c>
      <c r="DG12" s="47">
        <f t="shared" si="50"/>
        <v>1.3925027906976746</v>
      </c>
    </row>
    <row r="13" spans="3:111" ht="15" customHeight="1" thickBot="1">
      <c r="C13" s="16" t="s">
        <v>104</v>
      </c>
      <c r="D13" s="7">
        <v>1400</v>
      </c>
      <c r="L13" s="19"/>
      <c r="M13" s="19"/>
      <c r="N13" s="26" t="s">
        <v>105</v>
      </c>
      <c r="O13" s="41">
        <f t="shared" si="18"/>
        <v>1</v>
      </c>
      <c r="P13" s="36">
        <f t="shared" si="0"/>
        <v>0</v>
      </c>
      <c r="Q13" s="36">
        <f t="shared" si="0"/>
        <v>0</v>
      </c>
      <c r="R13" s="37" t="s">
        <v>21</v>
      </c>
      <c r="S13" s="37" t="str">
        <f t="shared" si="1"/>
        <v>BE</v>
      </c>
      <c r="T13" s="37">
        <f t="shared" si="2"/>
        <v>1400</v>
      </c>
      <c r="U13" s="37">
        <f t="shared" si="3"/>
        <v>2150</v>
      </c>
      <c r="V13" s="97">
        <f t="shared" si="4"/>
        <v>3.01</v>
      </c>
      <c r="W13" s="60">
        <v>93</v>
      </c>
      <c r="X13" s="60">
        <v>147</v>
      </c>
      <c r="Y13" s="61">
        <v>147</v>
      </c>
      <c r="Z13" s="102">
        <f t="shared" si="19"/>
        <v>1.1000000000000001</v>
      </c>
      <c r="AA13" s="112">
        <v>2.9</v>
      </c>
      <c r="AB13" s="113">
        <v>3</v>
      </c>
      <c r="AC13" s="114">
        <v>3</v>
      </c>
      <c r="AD13" s="112">
        <v>2.5</v>
      </c>
      <c r="AE13" s="113">
        <v>2.6</v>
      </c>
      <c r="AF13" s="114">
        <v>2.6</v>
      </c>
      <c r="AG13" s="61">
        <f t="shared" si="20"/>
        <v>2.5</v>
      </c>
      <c r="AH13" s="61">
        <f t="shared" si="5"/>
        <v>2.6</v>
      </c>
      <c r="AI13" s="102">
        <f t="shared" si="6"/>
        <v>2.6</v>
      </c>
      <c r="AJ13" s="38">
        <f t="shared" si="7"/>
        <v>2.384296</v>
      </c>
      <c r="AK13" s="38">
        <f>+(T13*U13-(T13-2*W13)*(U13-2*W13))/1000000</f>
        <v>0.62570400000000004</v>
      </c>
      <c r="AL13" s="38">
        <f t="shared" si="9"/>
        <v>0</v>
      </c>
      <c r="AM13" s="38">
        <f>+(U13-2*W13)/1000000*Y13*Q13</f>
        <v>0</v>
      </c>
      <c r="AN13" s="38">
        <f t="shared" si="11"/>
        <v>1.3910251162790699</v>
      </c>
      <c r="AO13" s="39">
        <f t="shared" si="12"/>
        <v>0.08</v>
      </c>
      <c r="AP13" s="92">
        <f t="shared" si="13"/>
        <v>0.16893023255813955</v>
      </c>
      <c r="AQ13" s="94">
        <f t="shared" si="21"/>
        <v>1.3910251162790699</v>
      </c>
      <c r="AR13" s="1">
        <f t="shared" si="22"/>
        <v>4</v>
      </c>
      <c r="AT13" s="49"/>
      <c r="AU13" s="29"/>
      <c r="AV13" s="29"/>
      <c r="AW13" s="48">
        <f t="shared" si="23"/>
        <v>0</v>
      </c>
      <c r="AX13" s="29"/>
      <c r="AY13" s="29"/>
      <c r="AZ13" s="29"/>
      <c r="BA13" s="50"/>
      <c r="BB13" s="49">
        <v>2900</v>
      </c>
      <c r="BC13" s="29">
        <v>2300</v>
      </c>
      <c r="BD13" s="29">
        <v>4</v>
      </c>
      <c r="BE13" s="48">
        <f>+BB13*BC13/1000000</f>
        <v>6.67</v>
      </c>
      <c r="BF13" s="29">
        <v>4</v>
      </c>
      <c r="BG13" s="29" t="s">
        <v>95</v>
      </c>
      <c r="BH13" s="29" t="s">
        <v>81</v>
      </c>
      <c r="BI13" s="50">
        <v>2</v>
      </c>
      <c r="BJ13" s="49">
        <v>820</v>
      </c>
      <c r="BK13" s="29">
        <v>2100</v>
      </c>
      <c r="BL13" s="29">
        <v>1</v>
      </c>
      <c r="BM13" s="48">
        <f>+BJ13*BK13/1000000</f>
        <v>1.722</v>
      </c>
      <c r="BN13" s="29">
        <v>4</v>
      </c>
      <c r="BO13" s="29" t="s">
        <v>80</v>
      </c>
      <c r="BP13" s="29" t="s">
        <v>81</v>
      </c>
      <c r="BQ13" s="50">
        <v>5</v>
      </c>
      <c r="BR13" s="49">
        <v>1600</v>
      </c>
      <c r="BS13" s="29">
        <v>2100</v>
      </c>
      <c r="BT13" s="29">
        <v>2</v>
      </c>
      <c r="BU13" s="48">
        <f>+BR13*BS13/1000000</f>
        <v>3.36</v>
      </c>
      <c r="BV13" s="29">
        <v>4</v>
      </c>
      <c r="BW13" s="29" t="s">
        <v>103</v>
      </c>
      <c r="BX13" s="29" t="s">
        <v>81</v>
      </c>
      <c r="BY13" s="50">
        <v>3</v>
      </c>
      <c r="BZ13" s="49">
        <v>1400</v>
      </c>
      <c r="CA13" s="29">
        <v>1500</v>
      </c>
      <c r="CB13" s="29">
        <f>+BZ13*CA13/1000000</f>
        <v>2.1</v>
      </c>
      <c r="CC13" s="29">
        <v>33</v>
      </c>
      <c r="CD13" s="29">
        <v>29</v>
      </c>
      <c r="CE13" s="29">
        <v>37</v>
      </c>
      <c r="CF13" s="29">
        <v>33</v>
      </c>
      <c r="CG13" s="29">
        <f>+V13/CB13*100</f>
        <v>143.33333333333331</v>
      </c>
      <c r="CH13" s="50">
        <f>+IF(CG13&lt;150,0,IF(CG13&lt;200,1,IF(CG13&lt;250,2,3)))</f>
        <v>0</v>
      </c>
      <c r="CI13" s="67">
        <f t="shared" ref="CI13:CJ17" si="51">+U13</f>
        <v>2150</v>
      </c>
      <c r="CJ13" s="69">
        <f t="shared" si="51"/>
        <v>3.01</v>
      </c>
      <c r="CK13" s="71">
        <f t="shared" si="29"/>
        <v>1</v>
      </c>
      <c r="CL13" s="49" t="str">
        <f>+IF(OR(CJ13&gt;AW13*1.5,CK13&gt;AV13)=TRUE,"0",AX13)</f>
        <v>0</v>
      </c>
      <c r="CM13" s="29">
        <f>VALUE(IF(OR(CJ13&gt;AW13*1.5,CK13&gt;AV13)=TRUE,"0",IF(LEN(AY13)=2,MID(AY13,1,1),MID(AY13,2,4))))</f>
        <v>0</v>
      </c>
      <c r="CN13" s="29" t="str">
        <f>+IF(OR(CI13&gt;AU13,CJ13&gt;AW13,CK13&gt;AV13)=TRUE,"0",AZ13)</f>
        <v>0</v>
      </c>
      <c r="CO13" s="50" t="str">
        <f>+IF(OR(CI13&gt;AU13,CJ13&gt;AW13,CK13&gt;AV13)=TRUE,"0",BA13)</f>
        <v>0</v>
      </c>
      <c r="CP13" s="195">
        <f>+IF(OR(CJ13&gt;BE13*1.5,CK13&gt;BD13)=TRUE,"0",BF13)</f>
        <v>4</v>
      </c>
      <c r="CQ13" s="29">
        <f>VALUE(IF(OR(CJ13&gt;BE13*1.5,CK13&gt;BD13)=TRUE,"0",IF(LEN(BG13)=2,MID(BG13,1,1),MID(BG13,2,4))))</f>
        <v>8</v>
      </c>
      <c r="CR13" s="29" t="str">
        <f>+IF(OR(CI13&gt;BC13,CJ13&gt;BE13,CK13&gt;BD13)=TRUE,"0",BH13)</f>
        <v>C</v>
      </c>
      <c r="CS13" s="194">
        <f>+IF(OR(CI13&gt;BC13,CJ13&gt;BE13,CK13&gt;BD13)=TRUE,"0",BI13)</f>
        <v>2</v>
      </c>
      <c r="CT13" s="49" t="str">
        <f>+IF(OR(CJ13&gt;BM13*1.5,CK13&gt;BL13)=TRUE,"0",BN13)</f>
        <v>0</v>
      </c>
      <c r="CU13" s="29">
        <f>VALUE(IF(OR(CJ13&gt;BM13*1.5,CK13&gt;BL13)=TRUE,"0",IF(LEN(BO13)=2,MID(BO13,1,1),MID(BO13,2,4))))</f>
        <v>0</v>
      </c>
      <c r="CV13" s="29" t="str">
        <f>+IF(OR(CI13&gt;BK13,CJ13&gt;BM13,CK13&gt;BL13)=TRUE,"0",BP13)</f>
        <v>0</v>
      </c>
      <c r="CW13" s="50" t="str">
        <f>+IF(OR(CI13&gt;BK13,CJ13&gt;BM13,CK13&gt;BL13)=TRUE,"0",BQ13)</f>
        <v>0</v>
      </c>
      <c r="CX13" s="49">
        <f>+IF(OR(CJ13&gt;BU13*1.5,CK13&gt;BT13)=TRUE,"0",BV13)</f>
        <v>4</v>
      </c>
      <c r="CY13" s="29">
        <f>VALUE(IF(OR(CJ13&gt;BU13*1.5,CK13&gt;BT13)=TRUE,"0",IF(LEN(BW13)=2,MID(BW13,1,1),MID(BW13,2,4))))</f>
        <v>1500</v>
      </c>
      <c r="CZ13" s="29" t="str">
        <f>+IF(OR(CI13&gt;BS13,CJ13&gt;BU13,CK13&gt;BT13)=TRUE,"0",BX13)</f>
        <v>0</v>
      </c>
      <c r="DA13" s="50" t="str">
        <f>+IF(OR(CI13&gt;BS13,CJ13&gt;BU13,CK13&gt;BT13)=TRUE,"0",BY13)</f>
        <v>0</v>
      </c>
      <c r="DB13" s="49">
        <f>IF(MAX(CL13,CP13,CT13,CX13)=0,"NPD",MAX(CL13,CP13,CT13,CX13))</f>
        <v>4</v>
      </c>
      <c r="DC13" s="29" t="str">
        <f>IF(MAX(CM13,CQ13,CU13,CY13)&gt;10,"E"&amp;MAX(CM13,CQ13,CU13,CY13),IF(MAX(CM13,CQ13,CU13,CY13)=0,"NPD",MAX(CM13,CQ13,CU13,CY13)&amp;"A"))</f>
        <v>E1500</v>
      </c>
      <c r="DD13" s="29" t="str">
        <f>+IF(OR(CN13="C",CR13="C",CV13="C",CZ13="C")=TRUE,"C",IF(OR(CN13="B",CR13="B",CV13="B",CZ13="B")=TRUE,"B",IF(OR(CN13="A",CR13="A",CV13="A",CZ13="A")=TRUE,"A","B")))</f>
        <v>C</v>
      </c>
      <c r="DE13" s="29">
        <f>IF(MAX(CO13,CS13,CW13,DA13)=0,"1",MAX(CO13,CS13,CW13,DA13))</f>
        <v>2</v>
      </c>
      <c r="DF13" s="29">
        <f t="shared" si="17"/>
        <v>37</v>
      </c>
      <c r="DG13" s="47">
        <f>+AN13</f>
        <v>1.3910251162790699</v>
      </c>
    </row>
    <row r="14" spans="3:111" ht="15" thickBot="1">
      <c r="C14" s="16" t="s">
        <v>106</v>
      </c>
      <c r="D14" s="7">
        <v>2150</v>
      </c>
      <c r="F14" s="143" t="s">
        <v>57</v>
      </c>
      <c r="G14" s="95">
        <f>VLOOKUP(D8,N8:BA28,30,FALSE)</f>
        <v>1.2354925302325581</v>
      </c>
      <c r="H14"/>
      <c r="L14" s="19"/>
      <c r="M14" s="19"/>
      <c r="N14" s="26" t="s">
        <v>107</v>
      </c>
      <c r="O14" s="41">
        <f t="shared" si="18"/>
        <v>1</v>
      </c>
      <c r="P14" s="36">
        <f t="shared" si="0"/>
        <v>0</v>
      </c>
      <c r="Q14" s="36">
        <f t="shared" si="0"/>
        <v>0</v>
      </c>
      <c r="R14" s="37" t="s">
        <v>21</v>
      </c>
      <c r="S14" s="37" t="str">
        <f t="shared" si="1"/>
        <v>BE</v>
      </c>
      <c r="T14" s="37">
        <f t="shared" ref="T14:T28" si="52">+$D$13</f>
        <v>1400</v>
      </c>
      <c r="U14" s="37">
        <f t="shared" ref="U14:U28" si="53">+$D$14</f>
        <v>2150</v>
      </c>
      <c r="V14" s="97">
        <f t="shared" si="4"/>
        <v>3.01</v>
      </c>
      <c r="W14" s="60">
        <v>95.5</v>
      </c>
      <c r="X14" s="60">
        <v>147.19999999999999</v>
      </c>
      <c r="Y14" s="61">
        <v>147.19999999999999</v>
      </c>
      <c r="Z14" s="102">
        <f t="shared" si="19"/>
        <v>1.1000000000000001</v>
      </c>
      <c r="AA14" s="112">
        <v>1.9</v>
      </c>
      <c r="AB14" s="113">
        <v>1.9</v>
      </c>
      <c r="AC14" s="114">
        <v>1.9</v>
      </c>
      <c r="AD14" s="112">
        <v>1.6</v>
      </c>
      <c r="AE14" s="113">
        <v>1.6</v>
      </c>
      <c r="AF14" s="114">
        <v>1.6</v>
      </c>
      <c r="AG14" s="61">
        <f t="shared" si="20"/>
        <v>1.6</v>
      </c>
      <c r="AH14" s="61">
        <f t="shared" si="5"/>
        <v>1.6</v>
      </c>
      <c r="AI14" s="102">
        <f t="shared" si="6"/>
        <v>1.6</v>
      </c>
      <c r="AJ14" s="38">
        <f t="shared" si="7"/>
        <v>2.3684309999999997</v>
      </c>
      <c r="AK14" s="38">
        <f t="shared" si="8"/>
        <v>0.64156899999999994</v>
      </c>
      <c r="AL14" s="38">
        <f t="shared" si="9"/>
        <v>0</v>
      </c>
      <c r="AM14" s="38">
        <f t="shared" si="10"/>
        <v>0</v>
      </c>
      <c r="AN14" s="38">
        <f t="shared" si="11"/>
        <v>1.20657292358804</v>
      </c>
      <c r="AO14" s="39">
        <f t="shared" si="12"/>
        <v>0.08</v>
      </c>
      <c r="AP14" s="92">
        <f t="shared" si="13"/>
        <v>0.16839867109634551</v>
      </c>
      <c r="AQ14" s="94">
        <f t="shared" si="21"/>
        <v>1.20657292358804</v>
      </c>
      <c r="AR14" s="1">
        <f t="shared" si="22"/>
        <v>4</v>
      </c>
      <c r="AT14" s="49"/>
      <c r="AU14" s="29"/>
      <c r="AV14" s="29"/>
      <c r="AW14" s="48">
        <f t="shared" si="23"/>
        <v>0</v>
      </c>
      <c r="AX14" s="29"/>
      <c r="AY14" s="29"/>
      <c r="AZ14" s="29"/>
      <c r="BA14" s="50"/>
      <c r="BB14" s="49">
        <v>2900</v>
      </c>
      <c r="BC14" s="29">
        <v>2300</v>
      </c>
      <c r="BD14" s="29">
        <v>4</v>
      </c>
      <c r="BE14" s="48">
        <f>+BB14*BC14/1000000</f>
        <v>6.67</v>
      </c>
      <c r="BF14" s="29">
        <v>4</v>
      </c>
      <c r="BG14" s="29" t="s">
        <v>95</v>
      </c>
      <c r="BH14" s="29" t="s">
        <v>81</v>
      </c>
      <c r="BI14" s="50">
        <v>2</v>
      </c>
      <c r="BJ14" s="49">
        <v>820</v>
      </c>
      <c r="BK14" s="29">
        <v>2100</v>
      </c>
      <c r="BL14" s="29">
        <v>1</v>
      </c>
      <c r="BM14" s="48">
        <f>+BJ14*BK14/1000000</f>
        <v>1.722</v>
      </c>
      <c r="BN14" s="29">
        <v>4</v>
      </c>
      <c r="BO14" s="29" t="s">
        <v>80</v>
      </c>
      <c r="BP14" s="29" t="s">
        <v>81</v>
      </c>
      <c r="BQ14" s="50">
        <v>5</v>
      </c>
      <c r="BR14" s="49">
        <v>1600</v>
      </c>
      <c r="BS14" s="29">
        <v>2100</v>
      </c>
      <c r="BT14" s="29">
        <v>2</v>
      </c>
      <c r="BU14" s="48">
        <f>+BR14*BS14/1000000</f>
        <v>3.36</v>
      </c>
      <c r="BV14" s="29">
        <v>4</v>
      </c>
      <c r="BW14" s="29" t="s">
        <v>103</v>
      </c>
      <c r="BX14" s="29" t="s">
        <v>81</v>
      </c>
      <c r="BY14" s="50">
        <v>3</v>
      </c>
      <c r="BZ14" s="49">
        <v>1400</v>
      </c>
      <c r="CA14" s="29">
        <v>1500</v>
      </c>
      <c r="CB14" s="29">
        <f>+BZ14*CA14/1000000</f>
        <v>2.1</v>
      </c>
      <c r="CC14" s="29">
        <v>33</v>
      </c>
      <c r="CD14" s="29">
        <v>29</v>
      </c>
      <c r="CE14" s="29">
        <v>37</v>
      </c>
      <c r="CF14" s="29">
        <v>33</v>
      </c>
      <c r="CG14" s="29">
        <f>+V14/CB14*100</f>
        <v>143.33333333333331</v>
      </c>
      <c r="CH14" s="50">
        <f>+IF(CG14&lt;150,0,IF(CG14&lt;200,1,IF(CG14&lt;250,2,3)))</f>
        <v>0</v>
      </c>
      <c r="CI14" s="67">
        <f t="shared" si="51"/>
        <v>2150</v>
      </c>
      <c r="CJ14" s="69">
        <f t="shared" si="51"/>
        <v>3.01</v>
      </c>
      <c r="CK14" s="71">
        <f t="shared" si="29"/>
        <v>1</v>
      </c>
      <c r="CL14" s="49" t="str">
        <f>+IF(OR(CJ14&gt;AW14*1.5,CK14&gt;AV14)=TRUE,"0",AX14)</f>
        <v>0</v>
      </c>
      <c r="CM14" s="29">
        <f>VALUE(IF(OR(CJ14&gt;AW14*1.5,CK14&gt;AV14)=TRUE,"0",IF(LEN(AY14)=2,MID(AY14,1,1),MID(AY14,2,4))))</f>
        <v>0</v>
      </c>
      <c r="CN14" s="29" t="str">
        <f>+IF(OR(CI14&gt;AU14,CJ14&gt;AW14,CK14&gt;AV14)=TRUE,"0",AZ14)</f>
        <v>0</v>
      </c>
      <c r="CO14" s="50" t="str">
        <f>+IF(OR(CI14&gt;AU14,CJ14&gt;AW14,CK14&gt;AV14)=TRUE,"0",BA14)</f>
        <v>0</v>
      </c>
      <c r="CP14" s="195">
        <f>+IF(OR(CJ14&gt;BE14*1.5,CK14&gt;BD14)=TRUE,"0",BF14)</f>
        <v>4</v>
      </c>
      <c r="CQ14" s="29">
        <f>VALUE(IF(OR(CJ14&gt;BE14*1.5,CK14&gt;BD14)=TRUE,"0",IF(LEN(BG14)=2,MID(BG14,1,1),MID(BG14,2,4))))</f>
        <v>8</v>
      </c>
      <c r="CR14" s="29" t="str">
        <f>+IF(OR(CI14&gt;BC14,CJ14&gt;BE14,CK14&gt;BD14)=TRUE,"0",BH14)</f>
        <v>C</v>
      </c>
      <c r="CS14" s="194">
        <f>+IF(OR(CI14&gt;BC14,CJ14&gt;BE14,CK14&gt;BD14)=TRUE,"0",BI14)</f>
        <v>2</v>
      </c>
      <c r="CT14" s="49" t="str">
        <f>+IF(OR(CJ14&gt;BM14*1.5,CK14&gt;BL14)=TRUE,"0",BN14)</f>
        <v>0</v>
      </c>
      <c r="CU14" s="29">
        <f>VALUE(IF(OR(CJ14&gt;BM14*1.5,CK14&gt;BL14)=TRUE,"0",IF(LEN(BO14)=2,MID(BO14,1,1),MID(BO14,2,4))))</f>
        <v>0</v>
      </c>
      <c r="CV14" s="29" t="str">
        <f>+IF(OR(CI14&gt;BK14,CJ14&gt;BM14,CK14&gt;BL14)=TRUE,"0",BP14)</f>
        <v>0</v>
      </c>
      <c r="CW14" s="50" t="str">
        <f>+IF(OR(CI14&gt;BK14,CJ14&gt;BM14,CK14&gt;BL14)=TRUE,"0",BQ14)</f>
        <v>0</v>
      </c>
      <c r="CX14" s="49">
        <f>+IF(OR(CJ14&gt;BU14*1.5,CK14&gt;BT14)=TRUE,"0",BV14)</f>
        <v>4</v>
      </c>
      <c r="CY14" s="29">
        <f>VALUE(IF(OR(CJ14&gt;BU14*1.5,CK14&gt;BT14)=TRUE,"0",IF(LEN(BW14)=2,MID(BW14,1,1),MID(BW14,2,4))))</f>
        <v>1500</v>
      </c>
      <c r="CZ14" s="29" t="str">
        <f>+IF(OR(CI14&gt;BS14,CJ14&gt;BU14,CK14&gt;BT14)=TRUE,"0",BX14)</f>
        <v>0</v>
      </c>
      <c r="DA14" s="50" t="str">
        <f>+IF(OR(CI14&gt;BS14,CJ14&gt;BU14,CK14&gt;BT14)=TRUE,"0",BY14)</f>
        <v>0</v>
      </c>
      <c r="DB14" s="49">
        <f>IF(MAX(CL14,CP14,CT14,CX14)=0,"NPD",MAX(CL14,CP14,CT14,CX14))</f>
        <v>4</v>
      </c>
      <c r="DC14" s="29" t="str">
        <f>IF(MAX(CM14,CQ14,CU14,CY14)&gt;10,"E"&amp;MAX(CM14,CQ14,CU14,CY14),IF(MAX(CM14,CQ14,CU14,CY14)=0,"NPD",MAX(CM14,CQ14,CU14,CY14)&amp;"A"))</f>
        <v>E1500</v>
      </c>
      <c r="DD14" s="29" t="str">
        <f>+IF(OR(CN14="C",CR14="C",CV14="C",CZ14="C")=TRUE,"C",IF(OR(CN14="B",CR14="B",CV14="B",CZ14="B")=TRUE,"B",IF(OR(CN14="A",CR14="A",CV14="A",CZ14="A")=TRUE,"A","B")))</f>
        <v>C</v>
      </c>
      <c r="DE14" s="29">
        <f>IF(MAX(CO14,CS14,CW14,DA14)=0,"1",MAX(CO14,CS14,CW14,DA14))</f>
        <v>2</v>
      </c>
      <c r="DF14" s="29">
        <f t="shared" si="17"/>
        <v>37</v>
      </c>
      <c r="DG14" s="47">
        <f>+AN14</f>
        <v>1.20657292358804</v>
      </c>
    </row>
    <row r="15" spans="3:111" ht="15" hidden="1" thickBot="1">
      <c r="C15" s="124"/>
      <c r="D15" s="125"/>
      <c r="F15" s="143" t="s">
        <v>108</v>
      </c>
      <c r="G15" s="145">
        <f>VLOOKUP(D8,N8:AR28,31,FALSE)</f>
        <v>4</v>
      </c>
      <c r="H15"/>
      <c r="L15" s="19"/>
      <c r="M15" s="19"/>
      <c r="N15" s="26" t="s">
        <v>109</v>
      </c>
      <c r="O15" s="41">
        <f t="shared" si="18"/>
        <v>1</v>
      </c>
      <c r="P15" s="36">
        <f t="shared" si="0"/>
        <v>0</v>
      </c>
      <c r="Q15" s="36">
        <f t="shared" si="0"/>
        <v>0</v>
      </c>
      <c r="R15" s="37" t="s">
        <v>21</v>
      </c>
      <c r="S15" s="37" t="str">
        <f t="shared" si="1"/>
        <v>BE</v>
      </c>
      <c r="T15" s="37">
        <f t="shared" si="52"/>
        <v>1400</v>
      </c>
      <c r="U15" s="37">
        <f t="shared" si="53"/>
        <v>2150</v>
      </c>
      <c r="V15" s="97">
        <f t="shared" si="4"/>
        <v>3.01</v>
      </c>
      <c r="W15" s="60">
        <v>66.3</v>
      </c>
      <c r="X15" s="60">
        <v>79.5</v>
      </c>
      <c r="Y15" s="61">
        <v>79.5</v>
      </c>
      <c r="Z15" s="102">
        <f t="shared" si="19"/>
        <v>1.1000000000000001</v>
      </c>
      <c r="AA15" s="112">
        <v>3.7</v>
      </c>
      <c r="AB15" s="113">
        <v>3.7</v>
      </c>
      <c r="AC15" s="114">
        <v>3.7</v>
      </c>
      <c r="AD15" s="112">
        <v>3.7</v>
      </c>
      <c r="AE15" s="113">
        <v>3.7</v>
      </c>
      <c r="AF15" s="114">
        <v>3.7</v>
      </c>
      <c r="AG15" s="61">
        <f t="shared" si="20"/>
        <v>3.7</v>
      </c>
      <c r="AH15" s="61">
        <f t="shared" si="5"/>
        <v>3.7</v>
      </c>
      <c r="AI15" s="102">
        <f t="shared" si="6"/>
        <v>3.7</v>
      </c>
      <c r="AJ15" s="38">
        <f t="shared" si="7"/>
        <v>2.5568527599999999</v>
      </c>
      <c r="AK15" s="38">
        <f t="shared" si="8"/>
        <v>0.45314723999999978</v>
      </c>
      <c r="AL15" s="38">
        <f t="shared" si="9"/>
        <v>0</v>
      </c>
      <c r="AM15" s="38">
        <f t="shared" si="10"/>
        <v>0</v>
      </c>
      <c r="AN15" s="38">
        <f t="shared" si="11"/>
        <v>1.4914228651162789</v>
      </c>
      <c r="AO15" s="39">
        <f t="shared" si="12"/>
        <v>0.08</v>
      </c>
      <c r="AP15" s="92">
        <f t="shared" si="13"/>
        <v>0.17460730897009974</v>
      </c>
      <c r="AQ15" s="94">
        <f t="shared" si="21"/>
        <v>1.4914228651162789</v>
      </c>
      <c r="AR15" s="1">
        <f t="shared" si="22"/>
        <v>4</v>
      </c>
      <c r="AT15" s="49"/>
      <c r="AU15" s="29"/>
      <c r="AV15" s="29"/>
      <c r="AW15" s="48"/>
      <c r="AX15" s="29"/>
      <c r="AY15" s="29"/>
      <c r="AZ15" s="29"/>
      <c r="BA15" s="50"/>
      <c r="BB15" s="49"/>
      <c r="BC15" s="29"/>
      <c r="BD15" s="29"/>
      <c r="BE15" s="48"/>
      <c r="BF15" s="29"/>
      <c r="BG15" s="29"/>
      <c r="BH15" s="29"/>
      <c r="BI15" s="50"/>
      <c r="BJ15" s="49">
        <v>1400</v>
      </c>
      <c r="BK15" s="29">
        <v>1500</v>
      </c>
      <c r="BL15" s="29">
        <v>2</v>
      </c>
      <c r="BM15" s="48">
        <f>+BJ15*BK15/1000000</f>
        <v>2.1</v>
      </c>
      <c r="BN15" s="29">
        <v>4</v>
      </c>
      <c r="BO15" s="29" t="s">
        <v>80</v>
      </c>
      <c r="BP15" s="29" t="s">
        <v>81</v>
      </c>
      <c r="BQ15" s="50">
        <v>4</v>
      </c>
      <c r="BR15" s="49">
        <v>1600</v>
      </c>
      <c r="BS15" s="29">
        <v>2100</v>
      </c>
      <c r="BT15" s="29">
        <v>2</v>
      </c>
      <c r="BU15" s="48">
        <f>+BR15*BS15/1000000</f>
        <v>3.36</v>
      </c>
      <c r="BV15" s="29">
        <v>4</v>
      </c>
      <c r="BW15" s="29" t="s">
        <v>82</v>
      </c>
      <c r="BX15" s="29" t="s">
        <v>81</v>
      </c>
      <c r="BY15" s="50">
        <v>2</v>
      </c>
      <c r="BZ15" s="49">
        <v>1400</v>
      </c>
      <c r="CA15" s="29">
        <v>1500</v>
      </c>
      <c r="CB15" s="29">
        <f>+BZ15*CA15/1000000</f>
        <v>2.1</v>
      </c>
      <c r="CC15" s="29">
        <v>31</v>
      </c>
      <c r="CD15" s="29">
        <v>29</v>
      </c>
      <c r="CE15" s="29">
        <v>34</v>
      </c>
      <c r="CF15" s="29">
        <v>33</v>
      </c>
      <c r="CG15" s="29">
        <f>+V15/CB15*100</f>
        <v>143.33333333333331</v>
      </c>
      <c r="CH15" s="50">
        <f>+IF(CG15&lt;150,0,IF(CG15&lt;200,1,IF(CG15&lt;250,2,3)))</f>
        <v>0</v>
      </c>
      <c r="CI15" s="67">
        <f t="shared" si="51"/>
        <v>2150</v>
      </c>
      <c r="CJ15" s="69">
        <f t="shared" si="51"/>
        <v>3.01</v>
      </c>
      <c r="CK15" s="71">
        <f>+$J$19</f>
        <v>1</v>
      </c>
      <c r="CL15" s="49" t="str">
        <f>+IF(OR(CJ15&gt;AW15*1.5,CK15&gt;AV15)=TRUE,"0",AX15)</f>
        <v>0</v>
      </c>
      <c r="CM15" s="29">
        <f>VALUE(IF(OR(CJ15&gt;AW15*1.5,CK15&gt;AV15)=TRUE,"0",IF(LEN(AY15)=2,MID(AY15,1,1),MID(AY15,2,4))))</f>
        <v>0</v>
      </c>
      <c r="CN15" s="29" t="str">
        <f>+IF(OR(CI15&gt;AU15,CJ15&gt;AW15,CK15&gt;AV15)=TRUE,"0",AZ15)</f>
        <v>0</v>
      </c>
      <c r="CO15" s="50" t="str">
        <f>+IF(OR(CI15&gt;AU15,CJ15&gt;AW15,CK15&gt;AV15)=TRUE,"0",BA15)</f>
        <v>0</v>
      </c>
      <c r="CP15" s="195" t="str">
        <f>+IF(OR(CJ15&gt;BE15*1.5,CK15&gt;BD15)=TRUE,"0",BF15)</f>
        <v>0</v>
      </c>
      <c r="CQ15" s="29">
        <f>VALUE(IF(OR(CJ15&gt;BE15*1.5,CK15&gt;BD15)=TRUE,"0",IF(LEN(BG15)=2,MID(BG15,1,1),MID(BG15,2,4))))</f>
        <v>0</v>
      </c>
      <c r="CR15" s="29" t="str">
        <f>+IF(OR(CI15&gt;BC15,CJ15&gt;BE15,CK15&gt;BD15)=TRUE,"0",BH15)</f>
        <v>0</v>
      </c>
      <c r="CS15" s="194" t="str">
        <f>+IF(OR(CI15&gt;BC15,CJ15&gt;BE15,CK15&gt;BD15)=TRUE,"0",BI15)</f>
        <v>0</v>
      </c>
      <c r="CT15" s="49">
        <f>+IF(OR(CJ15&gt;BM15*1.5,CK15&gt;BL15)=TRUE,"0",BN15)</f>
        <v>4</v>
      </c>
      <c r="CU15" s="29">
        <f>VALUE(IF(OR(CJ15&gt;BM15*1.5,CK15&gt;BL15)=TRUE,"0",IF(LEN(BO15)=2,MID(BO15,1,1),MID(BO15,2,4))))</f>
        <v>1350</v>
      </c>
      <c r="CV15" s="29" t="str">
        <f>+IF(OR(CI15&gt;BK15,CJ15&gt;BM15,CK15&gt;BL15)=TRUE,"0",BP15)</f>
        <v>0</v>
      </c>
      <c r="CW15" s="50" t="str">
        <f>+IF(OR(CI15&gt;BK15,CJ15&gt;BM15,CK15&gt;BL15)=TRUE,"0",BQ15)</f>
        <v>0</v>
      </c>
      <c r="CX15" s="49">
        <f>+IF(OR(CJ15&gt;BU15*1.5,CK15&gt;BT15)=TRUE,"0",BV15)</f>
        <v>4</v>
      </c>
      <c r="CY15" s="29">
        <f>VALUE(IF(OR(CJ15&gt;BU15*1.5,CK15&gt;BT15)=TRUE,"0",IF(LEN(BW15)=2,MID(BW15,1,1),MID(BW15,2,4))))</f>
        <v>7</v>
      </c>
      <c r="CZ15" s="29" t="str">
        <f>+IF(OR(CI15&gt;BS15,CJ15&gt;BU15,CK15&gt;BT15)=TRUE,"0",BX15)</f>
        <v>0</v>
      </c>
      <c r="DA15" s="50" t="str">
        <f>+IF(OR(CI15&gt;BS15,CJ15&gt;BU15,CK15&gt;BT15)=TRUE,"0",BY15)</f>
        <v>0</v>
      </c>
      <c r="DB15" s="49">
        <f>IF(MAX(CL15,CP15,CT15,CX15)=0,"NPD",MAX(CL15,CP15,CT15,CX15))</f>
        <v>4</v>
      </c>
      <c r="DC15" s="29" t="str">
        <f>IF(MAX(CM15,CQ15,CU15,CY15)&gt;10,"E"&amp;MAX(CM15,CQ15,CU15,CY15),IF(MAX(CM15,CQ15,CU15,CY15)=0,"NPD",MAX(CM15,CQ15,CU15,CY15)&amp;"A"))</f>
        <v>E1350</v>
      </c>
      <c r="DD15" s="29" t="str">
        <f>+IF(OR(CN15="C",CR15="C",CV15="C",CZ15="C")=TRUE,"C",IF(OR(CN15="B",CR15="B",CV15="B",CZ15="B")=TRUE,"B",IF(OR(CN15="A",CR15="A",CV15="A",CZ15="A")=TRUE,"A","B")))</f>
        <v>B</v>
      </c>
      <c r="DE15" s="29" t="str">
        <f>IF(MAX(CO15,CS15,CW15,DA15)=0,"1",MAX(CO15,CS15,CW15,DA15))</f>
        <v>1</v>
      </c>
      <c r="DF15" s="29">
        <f>+IF(D$22&lt;CD15,"NPD",IF(D$22&lt;CF15,CC15-CH15,CE15-CH15))</f>
        <v>34</v>
      </c>
      <c r="DG15" s="47">
        <f>+AN15</f>
        <v>1.4914228651162789</v>
      </c>
    </row>
    <row r="16" spans="3:111" hidden="1">
      <c r="C16" s="124"/>
      <c r="D16" s="125"/>
      <c r="F16" s="146" t="s">
        <v>110</v>
      </c>
      <c r="G16" s="147" t="str">
        <f>+IF(G14&lt;1.5,"A",IF(G14&lt;2,"B",IF(G14&lt;2.5,"C",IF(G14&lt;2.7,"D",IF(G14&lt;3,"E",IF(G14&lt;3.5,"F","G"))))))</f>
        <v>A</v>
      </c>
      <c r="H16"/>
      <c r="L16" s="19"/>
      <c r="M16" s="19"/>
      <c r="N16" s="26" t="s">
        <v>76</v>
      </c>
      <c r="O16" s="41">
        <f t="shared" si="18"/>
        <v>1</v>
      </c>
      <c r="P16" s="36">
        <f t="shared" ref="P16:P24" si="54">+H$19</f>
        <v>0</v>
      </c>
      <c r="Q16" s="36">
        <f t="shared" ref="Q16:Q24" si="55">+I$19</f>
        <v>0</v>
      </c>
      <c r="R16" s="37" t="s">
        <v>21</v>
      </c>
      <c r="S16" s="37" t="str">
        <f t="shared" si="1"/>
        <v>BE</v>
      </c>
      <c r="T16" s="37">
        <f t="shared" si="52"/>
        <v>1400</v>
      </c>
      <c r="U16" s="37">
        <f t="shared" si="53"/>
        <v>2150</v>
      </c>
      <c r="V16" s="97">
        <f t="shared" si="4"/>
        <v>3.01</v>
      </c>
      <c r="W16" s="60">
        <v>66.3</v>
      </c>
      <c r="X16" s="60">
        <v>79.5</v>
      </c>
      <c r="Y16" s="61">
        <v>79.5</v>
      </c>
      <c r="Z16" s="102">
        <f t="shared" si="19"/>
        <v>1.1000000000000001</v>
      </c>
      <c r="AA16" s="112">
        <v>2.2000000000000002</v>
      </c>
      <c r="AB16" s="113">
        <v>2.2000000000000002</v>
      </c>
      <c r="AC16" s="114">
        <v>2.2000000000000002</v>
      </c>
      <c r="AD16" s="112">
        <v>2</v>
      </c>
      <c r="AE16" s="113">
        <v>2</v>
      </c>
      <c r="AF16" s="114">
        <v>2</v>
      </c>
      <c r="AG16" s="61">
        <f t="shared" si="20"/>
        <v>2</v>
      </c>
      <c r="AH16" s="61">
        <f t="shared" si="5"/>
        <v>2</v>
      </c>
      <c r="AI16" s="102">
        <f t="shared" si="6"/>
        <v>2</v>
      </c>
      <c r="AJ16" s="38">
        <f t="shared" si="7"/>
        <v>2.5568527599999999</v>
      </c>
      <c r="AK16" s="38">
        <f t="shared" si="8"/>
        <v>0.45314723999999978</v>
      </c>
      <c r="AL16" s="38">
        <f t="shared" ref="AL16:AL25" si="56">+(U16-2*W16)/1000000*X16*P16</f>
        <v>0</v>
      </c>
      <c r="AM16" s="38">
        <f t="shared" si="10"/>
        <v>0</v>
      </c>
      <c r="AN16" s="38">
        <f>+(Z16*AJ16+AG16*AK16+AL16*AH16+AI16*AM16)/(AJ16+AK16+AL16+AM16)</f>
        <v>1.2354925302325581</v>
      </c>
      <c r="AO16" s="39">
        <f t="shared" si="12"/>
        <v>0.08</v>
      </c>
      <c r="AP16" s="92">
        <f t="shared" si="13"/>
        <v>0.17460730897009974</v>
      </c>
      <c r="AQ16" s="94">
        <f>+AN16</f>
        <v>1.2354925302325581</v>
      </c>
      <c r="AR16" s="1">
        <f t="shared" si="22"/>
        <v>4</v>
      </c>
      <c r="AT16" s="49"/>
      <c r="AU16" s="29"/>
      <c r="AV16" s="29"/>
      <c r="AW16" s="48"/>
      <c r="AX16" s="29"/>
      <c r="AY16" s="29"/>
      <c r="AZ16" s="29"/>
      <c r="BA16" s="50"/>
      <c r="BB16" s="49"/>
      <c r="BC16" s="29"/>
      <c r="BD16" s="29"/>
      <c r="BE16" s="48"/>
      <c r="BF16" s="29"/>
      <c r="BG16" s="29"/>
      <c r="BH16" s="29"/>
      <c r="BI16" s="50"/>
      <c r="BJ16" s="49"/>
      <c r="BK16" s="29"/>
      <c r="BL16" s="29"/>
      <c r="BM16" s="48"/>
      <c r="BN16" s="29"/>
      <c r="BO16" s="29"/>
      <c r="BP16" s="29"/>
      <c r="BQ16" s="50"/>
      <c r="BR16" s="49">
        <v>950</v>
      </c>
      <c r="BS16" s="29">
        <v>1480</v>
      </c>
      <c r="BT16" s="29">
        <v>1</v>
      </c>
      <c r="BU16" s="48">
        <f>+BR16*BS16/1000000</f>
        <v>1.4059999999999999</v>
      </c>
      <c r="BV16" s="29">
        <v>4</v>
      </c>
      <c r="BW16" s="29" t="s">
        <v>103</v>
      </c>
      <c r="BX16" s="29" t="s">
        <v>81</v>
      </c>
      <c r="BY16" s="50">
        <v>5</v>
      </c>
      <c r="BZ16" s="49">
        <v>1230</v>
      </c>
      <c r="CA16" s="29">
        <v>1480</v>
      </c>
      <c r="CB16" s="29">
        <f>+BZ16*CA16/1000000</f>
        <v>1.8204</v>
      </c>
      <c r="CC16" s="29">
        <v>32</v>
      </c>
      <c r="CD16" s="29">
        <v>29</v>
      </c>
      <c r="CE16" s="29">
        <v>35</v>
      </c>
      <c r="CF16" s="29">
        <v>33</v>
      </c>
      <c r="CG16" s="29">
        <f>+V16/CB16*100</f>
        <v>165.34827510437265</v>
      </c>
      <c r="CH16" s="50">
        <f>+IF(CG16&lt;150,0,IF(CG16&lt;200,1,IF(CG16&lt;250,2,3)))</f>
        <v>1</v>
      </c>
      <c r="CI16" s="67">
        <f t="shared" si="51"/>
        <v>2150</v>
      </c>
      <c r="CJ16" s="69">
        <f t="shared" si="51"/>
        <v>3.01</v>
      </c>
      <c r="CK16" s="71">
        <v>3</v>
      </c>
      <c r="CL16" s="49" t="str">
        <f>+IF(OR(CJ16&gt;AW16*1.5,CK16&gt;AV16)=TRUE,"0",AX16)</f>
        <v>0</v>
      </c>
      <c r="CM16" s="29">
        <f>VALUE(IF(OR(CJ16&gt;AW16*1.5,CK16&gt;AV16)=TRUE,"0",IF(LEN(AY16)=2,MID(AY16,1,1),MID(AY16,2,4))))</f>
        <v>0</v>
      </c>
      <c r="CN16" s="29" t="str">
        <f>+IF(OR(CI16&gt;AU16,CJ16&gt;AW16,CK16&gt;AV16)=TRUE,"0",AZ16)</f>
        <v>0</v>
      </c>
      <c r="CO16" s="50" t="str">
        <f>+IF(OR(CI16&gt;AU16,CJ16&gt;AW16,CK16&gt;AV16)=TRUE,"0",BA16)</f>
        <v>0</v>
      </c>
      <c r="CP16" s="195" t="str">
        <f>+IF(OR(CJ16&gt;BE16*1.5,CK16&gt;BD16)=TRUE,"0",BF16)</f>
        <v>0</v>
      </c>
      <c r="CQ16" s="29">
        <f>VALUE(IF(OR(CJ16&gt;BE16*1.5,CK16&gt;BD16)=TRUE,"0",IF(LEN(BG16)=2,MID(BG16,1,1),MID(BG16,2,4))))</f>
        <v>0</v>
      </c>
      <c r="CR16" s="29" t="str">
        <f>+IF(OR(CI16&gt;BC16,CJ16&gt;BE16,CK16&gt;BD16)=TRUE,"0",BH16)</f>
        <v>0</v>
      </c>
      <c r="CS16" s="194" t="str">
        <f>+IF(OR(CI16&gt;BC16,CJ16&gt;BE16,CK16&gt;BD16)=TRUE,"0",BI16)</f>
        <v>0</v>
      </c>
      <c r="CT16" s="49" t="str">
        <f>+IF(OR(CJ16&gt;BM16*1.5,CK16&gt;BL16)=TRUE,"0",BN16)</f>
        <v>0</v>
      </c>
      <c r="CU16" s="29">
        <f>VALUE(IF(OR(CJ16&gt;BM16*1.5,CK16&gt;BL16)=TRUE,"0",IF(LEN(BO16)=2,MID(BO16,1,1),MID(BO16,2,4))))</f>
        <v>0</v>
      </c>
      <c r="CV16" s="29" t="str">
        <f>+IF(OR(CI16&gt;BK16,CJ16&gt;BM16,CK16&gt;BL16)=TRUE,"0",BP16)</f>
        <v>0</v>
      </c>
      <c r="CW16" s="50" t="str">
        <f>+IF(OR(CI16&gt;BK16,CJ16&gt;BM16,CK16&gt;BL16)=TRUE,"0",BQ16)</f>
        <v>0</v>
      </c>
      <c r="CX16" s="49" t="str">
        <f>+IF(OR(CJ16&gt;BU16*1.5,CK16&gt;BT16)=TRUE,"0",BV16)</f>
        <v>0</v>
      </c>
      <c r="CY16" s="29">
        <f>VALUE(IF(OR(CJ16&gt;BU16*1.5,CK16&gt;BT16)=TRUE,"0",IF(LEN(BW16)=2,MID(BW16,1,1),MID(BW16,2,4))))</f>
        <v>0</v>
      </c>
      <c r="CZ16" s="29" t="str">
        <f>+IF(OR(CI16&gt;BS16,CJ16&gt;BU16,CK16&gt;BT16)=TRUE,"0",BX16)</f>
        <v>0</v>
      </c>
      <c r="DA16" s="50" t="str">
        <f>+IF(OR(CI16&gt;BS16,CJ16&gt;BU16,CK16&gt;BT16)=TRUE,"0",BY16)</f>
        <v>0</v>
      </c>
      <c r="DB16" s="49">
        <v>4</v>
      </c>
      <c r="DC16" s="29" t="s">
        <v>99</v>
      </c>
      <c r="DD16" s="29" t="s">
        <v>81</v>
      </c>
      <c r="DE16" s="29" t="str">
        <f>IF(MAX(CO16,CS16,CW16,DA16)=0,"1",MAX(CO16,CS16,CW16,DA16))</f>
        <v>1</v>
      </c>
      <c r="DF16" s="29">
        <f>+IF(D$22&lt;CD16,"NPD",IF(D$22&lt;CF16,CC16-CH16,CE16-CH16))</f>
        <v>34</v>
      </c>
      <c r="DG16" s="47">
        <f>+AN16</f>
        <v>1.2354925302325581</v>
      </c>
    </row>
    <row r="17" spans="3:111" ht="15" hidden="1" thickBot="1">
      <c r="C17" s="124"/>
      <c r="D17" s="125"/>
      <c r="F17" s="148" t="s">
        <v>111</v>
      </c>
      <c r="G17" s="149" t="str">
        <f>+IF(G10="","NPD",IF(G10&lt;=0.4,"***",IF(G10&lt;=0.6,"**","*")))</f>
        <v>**</v>
      </c>
      <c r="H17"/>
      <c r="L17" s="19"/>
      <c r="M17" s="19"/>
      <c r="N17" s="26" t="s">
        <v>112</v>
      </c>
      <c r="O17" s="41">
        <f t="shared" si="18"/>
        <v>1</v>
      </c>
      <c r="P17" s="36">
        <f t="shared" si="54"/>
        <v>0</v>
      </c>
      <c r="Q17" s="36">
        <f t="shared" si="55"/>
        <v>0</v>
      </c>
      <c r="R17" s="37" t="s">
        <v>21</v>
      </c>
      <c r="S17" s="37" t="str">
        <f t="shared" si="1"/>
        <v>BE</v>
      </c>
      <c r="T17" s="37">
        <f t="shared" si="52"/>
        <v>1400</v>
      </c>
      <c r="U17" s="37">
        <f t="shared" si="53"/>
        <v>2150</v>
      </c>
      <c r="V17" s="97">
        <f t="shared" si="4"/>
        <v>3.01</v>
      </c>
      <c r="W17" s="60">
        <v>94.5</v>
      </c>
      <c r="X17" s="60">
        <v>143.1</v>
      </c>
      <c r="Y17" s="61">
        <v>143.1</v>
      </c>
      <c r="Z17" s="102">
        <f t="shared" si="19"/>
        <v>1.1000000000000001</v>
      </c>
      <c r="AA17" s="112">
        <v>3.5</v>
      </c>
      <c r="AB17" s="113">
        <v>3.5</v>
      </c>
      <c r="AC17" s="114">
        <v>3.5</v>
      </c>
      <c r="AD17" s="112">
        <v>3.2</v>
      </c>
      <c r="AE17" s="113">
        <v>3.2</v>
      </c>
      <c r="AF17" s="114">
        <v>3.3</v>
      </c>
      <c r="AG17" s="61">
        <f t="shared" ref="AG17:AG25" si="57">+IF($D$12="SI",AD17,AA17)</f>
        <v>3.2</v>
      </c>
      <c r="AH17" s="61">
        <f t="shared" si="5"/>
        <v>3.2</v>
      </c>
      <c r="AI17" s="102">
        <f t="shared" si="6"/>
        <v>3.3</v>
      </c>
      <c r="AJ17" s="38">
        <f t="shared" si="7"/>
        <v>2.374771</v>
      </c>
      <c r="AK17" s="38">
        <f t="shared" si="8"/>
        <v>0.63522900000000004</v>
      </c>
      <c r="AL17" s="38">
        <f t="shared" si="56"/>
        <v>0</v>
      </c>
      <c r="AM17" s="38">
        <f t="shared" si="10"/>
        <v>0</v>
      </c>
      <c r="AN17" s="38">
        <f t="shared" si="11"/>
        <v>1.5431830232558141</v>
      </c>
      <c r="AO17" s="39">
        <f t="shared" si="12"/>
        <v>0.08</v>
      </c>
      <c r="AP17" s="92">
        <f t="shared" si="13"/>
        <v>0.16861129568106317</v>
      </c>
      <c r="AQ17" s="94">
        <f t="shared" si="21"/>
        <v>1.5431830232558141</v>
      </c>
      <c r="AR17" s="1">
        <f t="shared" si="22"/>
        <v>4</v>
      </c>
      <c r="AT17" s="49"/>
      <c r="AU17" s="29"/>
      <c r="AV17" s="29"/>
      <c r="AW17" s="48"/>
      <c r="AX17" s="29"/>
      <c r="AY17" s="29"/>
      <c r="AZ17" s="29"/>
      <c r="BA17" s="50"/>
      <c r="BB17" s="49"/>
      <c r="BC17" s="29"/>
      <c r="BD17" s="29"/>
      <c r="BE17" s="48"/>
      <c r="BF17" s="29"/>
      <c r="BG17" s="29"/>
      <c r="BH17" s="29"/>
      <c r="BI17" s="50"/>
      <c r="BJ17" s="49"/>
      <c r="BK17" s="29"/>
      <c r="BL17" s="29"/>
      <c r="BM17" s="48"/>
      <c r="BN17" s="29"/>
      <c r="BO17" s="29"/>
      <c r="BP17" s="29"/>
      <c r="BQ17" s="50"/>
      <c r="BR17" s="49">
        <v>950</v>
      </c>
      <c r="BS17" s="29">
        <v>1480</v>
      </c>
      <c r="BT17" s="29">
        <v>1</v>
      </c>
      <c r="BU17" s="48">
        <f t="shared" si="26"/>
        <v>1.4059999999999999</v>
      </c>
      <c r="BV17" s="29">
        <v>4</v>
      </c>
      <c r="BW17" s="29" t="s">
        <v>103</v>
      </c>
      <c r="BX17" s="29" t="s">
        <v>81</v>
      </c>
      <c r="BY17" s="50">
        <v>5</v>
      </c>
      <c r="BZ17" s="49">
        <v>1230</v>
      </c>
      <c r="CA17" s="29">
        <v>1480</v>
      </c>
      <c r="CB17" s="29">
        <f>+BZ17*CA17/1000000</f>
        <v>1.8204</v>
      </c>
      <c r="CC17" s="29">
        <v>32</v>
      </c>
      <c r="CD17" s="29">
        <v>29</v>
      </c>
      <c r="CE17" s="29">
        <v>46</v>
      </c>
      <c r="CF17" s="29">
        <v>40</v>
      </c>
      <c r="CG17" s="29">
        <f>+V17/CB17*100</f>
        <v>165.34827510437265</v>
      </c>
      <c r="CH17" s="50">
        <f>+IF(CG17&lt;150,0,IF(CG17&lt;200,1,IF(CG17&lt;250,2,3)))</f>
        <v>1</v>
      </c>
      <c r="CI17" s="67">
        <f t="shared" si="51"/>
        <v>2150</v>
      </c>
      <c r="CJ17" s="69">
        <f t="shared" si="51"/>
        <v>3.01</v>
      </c>
      <c r="CK17" s="71">
        <v>3</v>
      </c>
      <c r="CL17" s="49" t="str">
        <f>+IF(OR(CJ17&gt;AW17*1.5,CK17&gt;AV17)=TRUE,"0",AX17)</f>
        <v>0</v>
      </c>
      <c r="CM17" s="29">
        <f>VALUE(IF(OR(CJ17&gt;AW17*1.5,CK17&gt;AV17)=TRUE,"0",IF(LEN(AY17)=2,MID(AY17,1,1),MID(AY17,2,4))))</f>
        <v>0</v>
      </c>
      <c r="CN17" s="29" t="str">
        <f>+IF(OR(CI17&gt;AU17,CJ17&gt;AW17,CK17&gt;AV17)=TRUE,"0",AZ17)</f>
        <v>0</v>
      </c>
      <c r="CO17" s="50" t="str">
        <f>+IF(OR(CI17&gt;AU17,CJ17&gt;AW17,CK17&gt;AV17)=TRUE,"0",BA17)</f>
        <v>0</v>
      </c>
      <c r="CP17" s="195" t="str">
        <f>+IF(OR(CJ17&gt;BE17*1.5,CK17&gt;BD17)=TRUE,"0",BF17)</f>
        <v>0</v>
      </c>
      <c r="CQ17" s="29">
        <f>VALUE(IF(OR(CJ17&gt;BE17*1.5,CK17&gt;BD17)=TRUE,"0",IF(LEN(BG17)=2,MID(BG17,1,1),MID(BG17,2,4))))</f>
        <v>0</v>
      </c>
      <c r="CR17" s="29" t="str">
        <f>+IF(OR(CI17&gt;BC17,CJ17&gt;BE17,CK17&gt;BD17)=TRUE,"0",BH17)</f>
        <v>0</v>
      </c>
      <c r="CS17" s="194" t="str">
        <f>+IF(OR(CI17&gt;BC17,CJ17&gt;BE17,CK17&gt;BD17)=TRUE,"0",BI17)</f>
        <v>0</v>
      </c>
      <c r="CT17" s="49" t="str">
        <f>+IF(OR(CJ17&gt;BM17*1.5,CK17&gt;BL17)=TRUE,"0",BN17)</f>
        <v>0</v>
      </c>
      <c r="CU17" s="29">
        <f>VALUE(IF(OR(CJ17&gt;BM17*1.5,CK17&gt;BL17)=TRUE,"0",IF(LEN(BO17)=2,MID(BO17,1,1),MID(BO17,2,4))))</f>
        <v>0</v>
      </c>
      <c r="CV17" s="29" t="str">
        <f>+IF(OR(CI17&gt;BK17,CJ17&gt;BM17,CK17&gt;BL17)=TRUE,"0",BP17)</f>
        <v>0</v>
      </c>
      <c r="CW17" s="50" t="str">
        <f>+IF(OR(CI17&gt;BK17,CJ17&gt;BM17,CK17&gt;BL17)=TRUE,"0",BQ17)</f>
        <v>0</v>
      </c>
      <c r="CX17" s="49" t="str">
        <f>+IF(OR(CJ17&gt;BU17*1.5,CK17&gt;BT17)=TRUE,"0",BV17)</f>
        <v>0</v>
      </c>
      <c r="CY17" s="29">
        <f>VALUE(IF(OR(CJ17&gt;BU17*1.5,CK17&gt;BT17)=TRUE,"0",IF(LEN(BW17)=2,MID(BW17,1,1),MID(BW17,2,4))))</f>
        <v>0</v>
      </c>
      <c r="CZ17" s="29" t="str">
        <f>+IF(OR(CI17&gt;BS17,CJ17&gt;BU17,CK17&gt;BT17)=TRUE,"0",BX17)</f>
        <v>0</v>
      </c>
      <c r="DA17" s="50" t="str">
        <f>+IF(OR(CI17&gt;BS17,CJ17&gt;BU17,CK17&gt;BT17)=TRUE,"0",BY17)</f>
        <v>0</v>
      </c>
      <c r="DB17" s="49">
        <v>4</v>
      </c>
      <c r="DC17" s="29" t="s">
        <v>99</v>
      </c>
      <c r="DD17" s="29" t="s">
        <v>81</v>
      </c>
      <c r="DE17" s="29" t="str">
        <f>IF(MAX(CO17,CS17,CW17,DA17)=0,"1",MAX(CO17,CS17,CW17,DA17))</f>
        <v>1</v>
      </c>
      <c r="DF17" s="29">
        <f t="shared" si="17"/>
        <v>31</v>
      </c>
      <c r="DG17" s="47">
        <f>+AN17</f>
        <v>1.5431830232558141</v>
      </c>
    </row>
    <row r="18" spans="3:111" ht="15" hidden="1" thickBot="1">
      <c r="D18" s="20"/>
      <c r="F18" s="82" t="s">
        <v>113</v>
      </c>
      <c r="G18" s="83" t="str">
        <f>+VLOOKUP(D8,N8:DG28,96,FALSE)</f>
        <v>1</v>
      </c>
      <c r="H18" s="197" t="s">
        <v>39</v>
      </c>
      <c r="I18" s="196" t="s">
        <v>40</v>
      </c>
      <c r="J18" s="1" t="s">
        <v>114</v>
      </c>
      <c r="L18" s="19"/>
      <c r="M18" s="19"/>
      <c r="N18" s="26" t="s">
        <v>115</v>
      </c>
      <c r="O18" s="41">
        <f t="shared" si="18"/>
        <v>1</v>
      </c>
      <c r="P18" s="36">
        <f t="shared" si="54"/>
        <v>0</v>
      </c>
      <c r="Q18" s="36">
        <f t="shared" si="55"/>
        <v>0</v>
      </c>
      <c r="R18" s="37" t="s">
        <v>21</v>
      </c>
      <c r="S18" s="37" t="str">
        <f t="shared" si="1"/>
        <v>BE</v>
      </c>
      <c r="T18" s="37">
        <f t="shared" si="52"/>
        <v>1400</v>
      </c>
      <c r="U18" s="37">
        <f t="shared" si="53"/>
        <v>2150</v>
      </c>
      <c r="V18" s="97">
        <f t="shared" si="4"/>
        <v>3.01</v>
      </c>
      <c r="W18" s="60">
        <v>94.5</v>
      </c>
      <c r="X18" s="60">
        <v>143.1</v>
      </c>
      <c r="Y18" s="61">
        <v>143.1</v>
      </c>
      <c r="Z18" s="102">
        <f t="shared" si="19"/>
        <v>1.1000000000000001</v>
      </c>
      <c r="AA18" s="112">
        <v>2.9</v>
      </c>
      <c r="AB18" s="113">
        <v>2.9</v>
      </c>
      <c r="AC18" s="114">
        <v>2.9</v>
      </c>
      <c r="AD18" s="112">
        <v>2.9</v>
      </c>
      <c r="AE18" s="113">
        <v>2.9</v>
      </c>
      <c r="AF18" s="114">
        <v>2.9</v>
      </c>
      <c r="AG18" s="61">
        <f t="shared" si="57"/>
        <v>2.9</v>
      </c>
      <c r="AH18" s="61">
        <f t="shared" si="5"/>
        <v>2.9</v>
      </c>
      <c r="AI18" s="102">
        <f t="shared" si="6"/>
        <v>2.9</v>
      </c>
      <c r="AJ18" s="38">
        <f t="shared" si="7"/>
        <v>2.374771</v>
      </c>
      <c r="AK18" s="38">
        <f t="shared" si="8"/>
        <v>0.63522900000000004</v>
      </c>
      <c r="AL18" s="38">
        <f t="shared" si="56"/>
        <v>0</v>
      </c>
      <c r="AM18" s="38">
        <f t="shared" si="10"/>
        <v>0</v>
      </c>
      <c r="AN18" s="38">
        <f t="shared" si="11"/>
        <v>1.4798711627906977</v>
      </c>
      <c r="AO18" s="39">
        <f t="shared" si="12"/>
        <v>0.08</v>
      </c>
      <c r="AP18" s="92">
        <f t="shared" si="13"/>
        <v>0.16861129568106317</v>
      </c>
      <c r="AQ18" s="94">
        <f t="shared" si="21"/>
        <v>1.4798711627906977</v>
      </c>
      <c r="AR18" s="1">
        <f t="shared" si="22"/>
        <v>4</v>
      </c>
      <c r="AT18" s="49"/>
      <c r="AU18" s="29"/>
      <c r="AV18" s="29"/>
      <c r="AW18" s="48">
        <f t="shared" si="23"/>
        <v>0</v>
      </c>
      <c r="AX18" s="29"/>
      <c r="AY18" s="29"/>
      <c r="AZ18" s="29"/>
      <c r="BA18" s="50"/>
      <c r="BB18" s="49">
        <v>1340</v>
      </c>
      <c r="BC18" s="29">
        <v>1690</v>
      </c>
      <c r="BD18" s="29">
        <v>3</v>
      </c>
      <c r="BE18" s="48">
        <f t="shared" si="24"/>
        <v>2.2646000000000002</v>
      </c>
      <c r="BF18" s="29">
        <v>4</v>
      </c>
      <c r="BG18" s="29" t="s">
        <v>88</v>
      </c>
      <c r="BH18" s="29" t="s">
        <v>81</v>
      </c>
      <c r="BI18" s="50">
        <v>3</v>
      </c>
      <c r="BJ18" s="49">
        <v>1800</v>
      </c>
      <c r="BK18" s="29">
        <v>2200</v>
      </c>
      <c r="BL18" s="29">
        <v>3</v>
      </c>
      <c r="BM18" s="48">
        <f t="shared" si="25"/>
        <v>3.96</v>
      </c>
      <c r="BN18" s="29">
        <v>4</v>
      </c>
      <c r="BO18" s="29" t="s">
        <v>95</v>
      </c>
      <c r="BP18" s="29" t="s">
        <v>81</v>
      </c>
      <c r="BQ18" s="50">
        <v>2</v>
      </c>
      <c r="BR18" s="49">
        <v>1880</v>
      </c>
      <c r="BS18" s="29">
        <v>2390</v>
      </c>
      <c r="BT18" s="29">
        <v>3</v>
      </c>
      <c r="BU18" s="48">
        <f t="shared" si="26"/>
        <v>4.4931999999999999</v>
      </c>
      <c r="BV18" s="29">
        <v>4</v>
      </c>
      <c r="BW18" s="29" t="s">
        <v>88</v>
      </c>
      <c r="BX18" s="29" t="s">
        <v>81</v>
      </c>
      <c r="BY18" s="50">
        <v>2</v>
      </c>
      <c r="BZ18" s="49">
        <v>1230</v>
      </c>
      <c r="CA18" s="29">
        <v>1480</v>
      </c>
      <c r="CB18" s="29">
        <f t="shared" si="27"/>
        <v>1.8204</v>
      </c>
      <c r="CC18" s="29">
        <v>32</v>
      </c>
      <c r="CD18" s="29">
        <v>29</v>
      </c>
      <c r="CE18" s="29">
        <v>36</v>
      </c>
      <c r="CF18" s="29">
        <v>36</v>
      </c>
      <c r="CG18" s="29">
        <f t="shared" si="14"/>
        <v>165.34827510437265</v>
      </c>
      <c r="CH18" s="50">
        <f t="shared" si="28"/>
        <v>1</v>
      </c>
      <c r="CI18" s="67">
        <f t="shared" si="15"/>
        <v>2150</v>
      </c>
      <c r="CJ18" s="69">
        <f t="shared" si="16"/>
        <v>3.01</v>
      </c>
      <c r="CK18" s="71">
        <f t="shared" si="29"/>
        <v>1</v>
      </c>
      <c r="CL18" s="49" t="str">
        <f t="shared" si="30"/>
        <v>0</v>
      </c>
      <c r="CM18" s="29">
        <f t="shared" si="31"/>
        <v>0</v>
      </c>
      <c r="CN18" s="29" t="str">
        <f t="shared" si="32"/>
        <v>0</v>
      </c>
      <c r="CO18" s="50" t="str">
        <f t="shared" si="33"/>
        <v>0</v>
      </c>
      <c r="CP18" s="195">
        <f t="shared" si="34"/>
        <v>4</v>
      </c>
      <c r="CQ18" s="29">
        <f t="shared" si="35"/>
        <v>9</v>
      </c>
      <c r="CR18" s="29" t="str">
        <f t="shared" si="36"/>
        <v>0</v>
      </c>
      <c r="CS18" s="194" t="str">
        <f t="shared" si="37"/>
        <v>0</v>
      </c>
      <c r="CT18" s="49">
        <f t="shared" si="38"/>
        <v>4</v>
      </c>
      <c r="CU18" s="29">
        <f t="shared" si="39"/>
        <v>8</v>
      </c>
      <c r="CV18" s="29" t="str">
        <f t="shared" si="40"/>
        <v>C</v>
      </c>
      <c r="CW18" s="50">
        <f t="shared" si="41"/>
        <v>2</v>
      </c>
      <c r="CX18" s="49">
        <f t="shared" si="42"/>
        <v>4</v>
      </c>
      <c r="CY18" s="29">
        <f t="shared" si="43"/>
        <v>9</v>
      </c>
      <c r="CZ18" s="29" t="str">
        <f t="shared" si="44"/>
        <v>C</v>
      </c>
      <c r="DA18" s="50">
        <f t="shared" si="45"/>
        <v>2</v>
      </c>
      <c r="DB18" s="49">
        <f t="shared" si="46"/>
        <v>4</v>
      </c>
      <c r="DC18" s="29" t="str">
        <f t="shared" si="47"/>
        <v>9A</v>
      </c>
      <c r="DD18" s="29" t="str">
        <f t="shared" si="48"/>
        <v>C</v>
      </c>
      <c r="DE18" s="29">
        <f t="shared" si="49"/>
        <v>2</v>
      </c>
      <c r="DF18" s="29">
        <f t="shared" si="17"/>
        <v>35</v>
      </c>
      <c r="DG18" s="47">
        <f t="shared" si="50"/>
        <v>1.4798711627906977</v>
      </c>
    </row>
    <row r="19" spans="3:111" ht="15" hidden="1" thickBot="1">
      <c r="C19" s="218" t="s">
        <v>116</v>
      </c>
      <c r="D19" s="219"/>
      <c r="F19" s="84" t="s">
        <v>113</v>
      </c>
      <c r="G19" s="85" t="str">
        <f>+VLOOKUP(D8,N8:DG28,95,FALSE)</f>
        <v>C</v>
      </c>
      <c r="H19" s="79">
        <f>+VLOOKUP(D10,J$5:M$10,3,FALSE)</f>
        <v>0</v>
      </c>
      <c r="I19" s="80">
        <f>+VLOOKUP(D10,J$5:M$10,4,FALSE)</f>
        <v>0</v>
      </c>
      <c r="J19" s="62">
        <f>+H19+I19+1</f>
        <v>1</v>
      </c>
      <c r="K19"/>
      <c r="L19" s="19"/>
      <c r="M19" s="19"/>
      <c r="N19" s="26" t="s">
        <v>117</v>
      </c>
      <c r="O19" s="41">
        <f t="shared" si="18"/>
        <v>1</v>
      </c>
      <c r="P19" s="36">
        <f t="shared" si="54"/>
        <v>0</v>
      </c>
      <c r="Q19" s="36">
        <f t="shared" si="55"/>
        <v>0</v>
      </c>
      <c r="R19" s="37" t="s">
        <v>21</v>
      </c>
      <c r="S19" s="37" t="str">
        <f t="shared" si="1"/>
        <v>BE</v>
      </c>
      <c r="T19" s="37">
        <f t="shared" si="52"/>
        <v>1400</v>
      </c>
      <c r="U19" s="37">
        <f t="shared" si="53"/>
        <v>2150</v>
      </c>
      <c r="V19" s="97">
        <f t="shared" si="4"/>
        <v>3.01</v>
      </c>
      <c r="W19" s="60">
        <v>94.5</v>
      </c>
      <c r="X19" s="60">
        <v>143.1</v>
      </c>
      <c r="Y19" s="61">
        <v>143.1</v>
      </c>
      <c r="Z19" s="102">
        <f t="shared" si="19"/>
        <v>1.1000000000000001</v>
      </c>
      <c r="AA19" s="112">
        <v>2.7</v>
      </c>
      <c r="AB19" s="113">
        <v>2.8</v>
      </c>
      <c r="AC19" s="114">
        <v>2.8</v>
      </c>
      <c r="AD19" s="112">
        <v>2.1</v>
      </c>
      <c r="AE19" s="113">
        <v>2.1</v>
      </c>
      <c r="AF19" s="114">
        <v>2.1</v>
      </c>
      <c r="AG19" s="61">
        <f t="shared" si="57"/>
        <v>2.1</v>
      </c>
      <c r="AH19" s="61">
        <f t="shared" si="5"/>
        <v>2.1</v>
      </c>
      <c r="AI19" s="102">
        <f t="shared" si="6"/>
        <v>2.1</v>
      </c>
      <c r="AJ19" s="38">
        <f t="shared" si="7"/>
        <v>2.374771</v>
      </c>
      <c r="AK19" s="38">
        <f t="shared" si="8"/>
        <v>0.63522900000000004</v>
      </c>
      <c r="AL19" s="38">
        <f t="shared" si="56"/>
        <v>0</v>
      </c>
      <c r="AM19" s="38">
        <f t="shared" si="10"/>
        <v>0</v>
      </c>
      <c r="AN19" s="38">
        <f t="shared" si="11"/>
        <v>1.3110395348837212</v>
      </c>
      <c r="AO19" s="39">
        <f t="shared" si="12"/>
        <v>0.08</v>
      </c>
      <c r="AP19" s="92">
        <f t="shared" si="13"/>
        <v>0.16861129568106317</v>
      </c>
      <c r="AQ19" s="94">
        <f t="shared" si="21"/>
        <v>1.3110395348837212</v>
      </c>
      <c r="AR19" s="1">
        <f t="shared" si="22"/>
        <v>4</v>
      </c>
      <c r="AT19" s="49"/>
      <c r="AU19" s="29"/>
      <c r="AV19" s="29"/>
      <c r="AW19" s="48">
        <f t="shared" si="23"/>
        <v>0</v>
      </c>
      <c r="AX19" s="29"/>
      <c r="AY19" s="29"/>
      <c r="AZ19" s="29"/>
      <c r="BA19" s="50"/>
      <c r="BB19" s="49">
        <v>1200</v>
      </c>
      <c r="BC19" s="29">
        <v>1500</v>
      </c>
      <c r="BD19" s="29">
        <v>3</v>
      </c>
      <c r="BE19" s="48">
        <f t="shared" si="24"/>
        <v>1.8</v>
      </c>
      <c r="BF19" s="29">
        <v>4</v>
      </c>
      <c r="BG19" s="29" t="s">
        <v>100</v>
      </c>
      <c r="BH19" s="29" t="s">
        <v>81</v>
      </c>
      <c r="BI19" s="50">
        <v>5</v>
      </c>
      <c r="BJ19" s="49">
        <v>1350</v>
      </c>
      <c r="BK19" s="29">
        <v>1680</v>
      </c>
      <c r="BL19" s="29">
        <v>3</v>
      </c>
      <c r="BM19" s="48">
        <f t="shared" si="25"/>
        <v>2.2679999999999998</v>
      </c>
      <c r="BN19" s="29">
        <v>3</v>
      </c>
      <c r="BO19" s="29" t="s">
        <v>88</v>
      </c>
      <c r="BP19" s="29" t="s">
        <v>81</v>
      </c>
      <c r="BQ19" s="50">
        <v>5</v>
      </c>
      <c r="BR19" s="49">
        <v>1880</v>
      </c>
      <c r="BS19" s="29">
        <v>2380</v>
      </c>
      <c r="BT19" s="29">
        <v>3</v>
      </c>
      <c r="BU19" s="48">
        <f t="shared" si="26"/>
        <v>4.4744000000000002</v>
      </c>
      <c r="BV19" s="29">
        <v>4</v>
      </c>
      <c r="BW19" s="29" t="s">
        <v>88</v>
      </c>
      <c r="BX19" s="29" t="s">
        <v>81</v>
      </c>
      <c r="BY19" s="50">
        <v>3</v>
      </c>
      <c r="BZ19" s="49">
        <v>1230</v>
      </c>
      <c r="CA19" s="29">
        <v>1480</v>
      </c>
      <c r="CB19" s="29">
        <f t="shared" si="27"/>
        <v>1.8204</v>
      </c>
      <c r="CC19" s="29">
        <v>32</v>
      </c>
      <c r="CD19" s="29">
        <v>29</v>
      </c>
      <c r="CE19" s="29">
        <v>36</v>
      </c>
      <c r="CF19" s="29">
        <v>36</v>
      </c>
      <c r="CG19" s="29">
        <f t="shared" si="14"/>
        <v>165.34827510437265</v>
      </c>
      <c r="CH19" s="50">
        <f t="shared" si="28"/>
        <v>1</v>
      </c>
      <c r="CI19" s="67">
        <f t="shared" si="15"/>
        <v>2150</v>
      </c>
      <c r="CJ19" s="69">
        <f t="shared" si="16"/>
        <v>3.01</v>
      </c>
      <c r="CK19" s="71">
        <f t="shared" si="29"/>
        <v>1</v>
      </c>
      <c r="CL19" s="49" t="str">
        <f t="shared" si="30"/>
        <v>0</v>
      </c>
      <c r="CM19" s="29">
        <f t="shared" si="31"/>
        <v>0</v>
      </c>
      <c r="CN19" s="29" t="str">
        <f t="shared" si="32"/>
        <v>0</v>
      </c>
      <c r="CO19" s="50" t="str">
        <f t="shared" si="33"/>
        <v>0</v>
      </c>
      <c r="CP19" s="195" t="str">
        <f t="shared" si="34"/>
        <v>0</v>
      </c>
      <c r="CQ19" s="29">
        <f t="shared" si="35"/>
        <v>0</v>
      </c>
      <c r="CR19" s="29" t="str">
        <f t="shared" si="36"/>
        <v>0</v>
      </c>
      <c r="CS19" s="194" t="str">
        <f t="shared" si="37"/>
        <v>0</v>
      </c>
      <c r="CT19" s="49">
        <f t="shared" si="38"/>
        <v>3</v>
      </c>
      <c r="CU19" s="29">
        <f t="shared" si="39"/>
        <v>9</v>
      </c>
      <c r="CV19" s="29" t="str">
        <f t="shared" si="40"/>
        <v>0</v>
      </c>
      <c r="CW19" s="50" t="str">
        <f t="shared" si="41"/>
        <v>0</v>
      </c>
      <c r="CX19" s="49">
        <f t="shared" si="42"/>
        <v>4</v>
      </c>
      <c r="CY19" s="29">
        <f t="shared" si="43"/>
        <v>9</v>
      </c>
      <c r="CZ19" s="29" t="str">
        <f t="shared" si="44"/>
        <v>C</v>
      </c>
      <c r="DA19" s="50">
        <f t="shared" si="45"/>
        <v>3</v>
      </c>
      <c r="DB19" s="49">
        <f t="shared" si="46"/>
        <v>4</v>
      </c>
      <c r="DC19" s="29" t="str">
        <f t="shared" si="47"/>
        <v>9A</v>
      </c>
      <c r="DD19" s="29" t="str">
        <f t="shared" si="48"/>
        <v>C</v>
      </c>
      <c r="DE19" s="29">
        <f t="shared" si="49"/>
        <v>3</v>
      </c>
      <c r="DF19" s="29">
        <f t="shared" si="17"/>
        <v>35</v>
      </c>
      <c r="DG19" s="47">
        <f t="shared" si="50"/>
        <v>1.3110395348837212</v>
      </c>
    </row>
    <row r="20" spans="3:111" hidden="1">
      <c r="C20" s="5" t="s">
        <v>77</v>
      </c>
      <c r="D20" s="13" t="str">
        <f>+F9</f>
        <v>4+4 Silence/18/6 Guardian Sun</v>
      </c>
      <c r="F20" s="84" t="s">
        <v>118</v>
      </c>
      <c r="G20" s="85" t="str">
        <f>+VLOOKUP(D8,N8:DG28,94,FALSE)</f>
        <v>E900</v>
      </c>
      <c r="H20"/>
      <c r="I20"/>
      <c r="K20"/>
      <c r="L20" s="19"/>
      <c r="M20" s="19"/>
      <c r="N20" s="26" t="s">
        <v>119</v>
      </c>
      <c r="O20" s="41">
        <f t="shared" si="18"/>
        <v>1</v>
      </c>
      <c r="P20" s="36">
        <f t="shared" si="54"/>
        <v>0</v>
      </c>
      <c r="Q20" s="36">
        <f t="shared" si="55"/>
        <v>0</v>
      </c>
      <c r="R20" s="37" t="s">
        <v>21</v>
      </c>
      <c r="S20" s="37" t="str">
        <f t="shared" si="1"/>
        <v>BE</v>
      </c>
      <c r="T20" s="37">
        <f t="shared" si="52"/>
        <v>1400</v>
      </c>
      <c r="U20" s="37">
        <f t="shared" si="53"/>
        <v>2150</v>
      </c>
      <c r="V20" s="97">
        <f t="shared" si="4"/>
        <v>3.01</v>
      </c>
      <c r="W20" s="60">
        <v>98.1</v>
      </c>
      <c r="X20" s="60">
        <v>160.4</v>
      </c>
      <c r="Y20" s="61">
        <v>160.4</v>
      </c>
      <c r="Z20" s="102">
        <f t="shared" si="19"/>
        <v>1.1000000000000001</v>
      </c>
      <c r="AA20" s="112">
        <v>2.7</v>
      </c>
      <c r="AB20" s="113">
        <v>2.8</v>
      </c>
      <c r="AC20" s="114">
        <v>2.8</v>
      </c>
      <c r="AD20" s="112">
        <v>2.5</v>
      </c>
      <c r="AE20" s="113">
        <v>2.5</v>
      </c>
      <c r="AF20" s="114">
        <v>2.5</v>
      </c>
      <c r="AG20" s="61">
        <f t="shared" si="57"/>
        <v>2.5</v>
      </c>
      <c r="AH20" s="61">
        <f t="shared" si="5"/>
        <v>2.5</v>
      </c>
      <c r="AI20" s="102">
        <f t="shared" si="6"/>
        <v>2.5</v>
      </c>
      <c r="AJ20" s="38">
        <f t="shared" si="7"/>
        <v>2.3519844399999998</v>
      </c>
      <c r="AK20" s="38">
        <f t="shared" si="8"/>
        <v>0.65801556000000005</v>
      </c>
      <c r="AL20" s="38">
        <f t="shared" si="56"/>
        <v>0</v>
      </c>
      <c r="AM20" s="38">
        <f t="shared" si="10"/>
        <v>0</v>
      </c>
      <c r="AN20" s="38">
        <f t="shared" si="11"/>
        <v>1.4060537488372093</v>
      </c>
      <c r="AO20" s="39">
        <f t="shared" si="12"/>
        <v>0.08</v>
      </c>
      <c r="AP20" s="92">
        <f t="shared" si="13"/>
        <v>0.16784584717607975</v>
      </c>
      <c r="AQ20" s="94">
        <f t="shared" si="21"/>
        <v>1.4060537488372093</v>
      </c>
      <c r="AR20" s="1">
        <f t="shared" si="22"/>
        <v>4</v>
      </c>
      <c r="AT20" s="49"/>
      <c r="AU20" s="29"/>
      <c r="AV20" s="29"/>
      <c r="AW20" s="48">
        <f t="shared" si="23"/>
        <v>0</v>
      </c>
      <c r="AX20" s="29"/>
      <c r="AY20" s="29"/>
      <c r="AZ20" s="29"/>
      <c r="BA20" s="50"/>
      <c r="BB20" s="49"/>
      <c r="BC20" s="29"/>
      <c r="BD20" s="29"/>
      <c r="BE20" s="48">
        <f t="shared" si="24"/>
        <v>0</v>
      </c>
      <c r="BF20" s="29"/>
      <c r="BG20" s="29"/>
      <c r="BH20" s="29"/>
      <c r="BI20" s="50"/>
      <c r="BJ20" s="49">
        <v>1250</v>
      </c>
      <c r="BK20" s="29">
        <v>1500</v>
      </c>
      <c r="BL20" s="29">
        <v>3</v>
      </c>
      <c r="BM20" s="48">
        <f t="shared" si="25"/>
        <v>1.875</v>
      </c>
      <c r="BN20" s="29">
        <v>4</v>
      </c>
      <c r="BO20" s="29" t="s">
        <v>93</v>
      </c>
      <c r="BP20" s="29" t="s">
        <v>81</v>
      </c>
      <c r="BQ20" s="50">
        <v>5</v>
      </c>
      <c r="BR20" s="49">
        <v>1900</v>
      </c>
      <c r="BS20" s="29">
        <v>2380</v>
      </c>
      <c r="BT20" s="29">
        <v>3</v>
      </c>
      <c r="BU20" s="48">
        <f t="shared" si="26"/>
        <v>4.5220000000000002</v>
      </c>
      <c r="BV20" s="29">
        <v>4</v>
      </c>
      <c r="BW20" s="29" t="s">
        <v>88</v>
      </c>
      <c r="BX20" s="29" t="s">
        <v>81</v>
      </c>
      <c r="BY20" s="50">
        <v>4</v>
      </c>
      <c r="BZ20" s="49">
        <v>1230</v>
      </c>
      <c r="CA20" s="29">
        <v>1480</v>
      </c>
      <c r="CB20" s="29">
        <f t="shared" si="27"/>
        <v>1.8204</v>
      </c>
      <c r="CC20" s="29">
        <v>32</v>
      </c>
      <c r="CD20" s="29">
        <v>29</v>
      </c>
      <c r="CE20" s="29">
        <v>36</v>
      </c>
      <c r="CF20" s="29">
        <v>36</v>
      </c>
      <c r="CG20" s="29">
        <f t="shared" si="14"/>
        <v>165.34827510437265</v>
      </c>
      <c r="CH20" s="50">
        <f t="shared" si="28"/>
        <v>1</v>
      </c>
      <c r="CI20" s="67">
        <f t="shared" si="15"/>
        <v>2150</v>
      </c>
      <c r="CJ20" s="69">
        <f t="shared" si="16"/>
        <v>3.01</v>
      </c>
      <c r="CK20" s="71">
        <f t="shared" si="29"/>
        <v>1</v>
      </c>
      <c r="CL20" s="49" t="str">
        <f t="shared" si="30"/>
        <v>0</v>
      </c>
      <c r="CM20" s="29">
        <f t="shared" si="31"/>
        <v>0</v>
      </c>
      <c r="CN20" s="29" t="str">
        <f t="shared" si="32"/>
        <v>0</v>
      </c>
      <c r="CO20" s="50" t="str">
        <f t="shared" si="33"/>
        <v>0</v>
      </c>
      <c r="CP20" s="195" t="str">
        <f t="shared" si="34"/>
        <v>0</v>
      </c>
      <c r="CQ20" s="29">
        <f t="shared" si="35"/>
        <v>0</v>
      </c>
      <c r="CR20" s="29" t="str">
        <f t="shared" si="36"/>
        <v>0</v>
      </c>
      <c r="CS20" s="194" t="str">
        <f t="shared" si="37"/>
        <v>0</v>
      </c>
      <c r="CT20" s="49" t="str">
        <f t="shared" si="38"/>
        <v>0</v>
      </c>
      <c r="CU20" s="29">
        <f t="shared" si="39"/>
        <v>0</v>
      </c>
      <c r="CV20" s="29" t="str">
        <f t="shared" si="40"/>
        <v>0</v>
      </c>
      <c r="CW20" s="50" t="str">
        <f t="shared" si="41"/>
        <v>0</v>
      </c>
      <c r="CX20" s="49">
        <f t="shared" si="42"/>
        <v>4</v>
      </c>
      <c r="CY20" s="29">
        <f t="shared" si="43"/>
        <v>9</v>
      </c>
      <c r="CZ20" s="29" t="str">
        <f t="shared" si="44"/>
        <v>C</v>
      </c>
      <c r="DA20" s="50">
        <f t="shared" si="45"/>
        <v>4</v>
      </c>
      <c r="DB20" s="49">
        <f t="shared" si="46"/>
        <v>4</v>
      </c>
      <c r="DC20" s="29" t="str">
        <f t="shared" si="47"/>
        <v>9A</v>
      </c>
      <c r="DD20" s="29" t="str">
        <f t="shared" si="48"/>
        <v>C</v>
      </c>
      <c r="DE20" s="29">
        <f t="shared" si="49"/>
        <v>4</v>
      </c>
      <c r="DF20" s="29">
        <f t="shared" si="17"/>
        <v>35</v>
      </c>
      <c r="DG20" s="47">
        <f t="shared" si="50"/>
        <v>1.4060537488372093</v>
      </c>
    </row>
    <row r="21" spans="3:111" hidden="1">
      <c r="C21" s="6" t="s">
        <v>120</v>
      </c>
      <c r="D21" s="12">
        <f>+G12</f>
        <v>1.1000000000000001</v>
      </c>
      <c r="F21" s="84" t="s">
        <v>121</v>
      </c>
      <c r="G21" s="85" t="str">
        <f>+IF(OR(D8=N22,D8=N23,D8=N24,D8=N25,D8=N28)=TRUE,"NPD",IF(D11="SI","APTE","NPD"))</f>
        <v>NPD</v>
      </c>
      <c r="I21" s="1" t="str">
        <f>+IF(OR(D8=N22,D8=N23,D8=N24,D8=N25,D8=N27)=TRUE,"CORREDISSA",IF(D8=N28,"ELEVABLE",IF(D11="SI","OSCIL·LOBATENT","PRACTICABLE")))</f>
        <v>PRACTICABLE</v>
      </c>
      <c r="K21"/>
      <c r="L21" s="19"/>
      <c r="M21" s="19"/>
      <c r="N21" s="26" t="s">
        <v>122</v>
      </c>
      <c r="O21" s="41">
        <f t="shared" si="18"/>
        <v>1</v>
      </c>
      <c r="P21" s="36">
        <f t="shared" si="54"/>
        <v>0</v>
      </c>
      <c r="Q21" s="36">
        <f t="shared" si="55"/>
        <v>0</v>
      </c>
      <c r="R21" s="37" t="s">
        <v>23</v>
      </c>
      <c r="S21" s="37" t="str">
        <f t="shared" si="1"/>
        <v>BE</v>
      </c>
      <c r="T21" s="37">
        <f t="shared" si="52"/>
        <v>1400</v>
      </c>
      <c r="U21" s="37">
        <f t="shared" si="53"/>
        <v>2150</v>
      </c>
      <c r="V21" s="97">
        <f t="shared" si="4"/>
        <v>3.01</v>
      </c>
      <c r="W21" s="37">
        <v>93.6</v>
      </c>
      <c r="X21" s="37">
        <v>62.9</v>
      </c>
      <c r="Y21" s="37"/>
      <c r="Z21" s="102">
        <f t="shared" si="19"/>
        <v>1.1000000000000001</v>
      </c>
      <c r="AA21" s="110">
        <v>6.7</v>
      </c>
      <c r="AB21" s="56">
        <v>6.8</v>
      </c>
      <c r="AC21" s="111"/>
      <c r="AD21" s="110">
        <v>6.7</v>
      </c>
      <c r="AE21" s="56">
        <v>6.8</v>
      </c>
      <c r="AF21" s="111"/>
      <c r="AG21" s="105">
        <f t="shared" si="57"/>
        <v>6.7</v>
      </c>
      <c r="AH21" s="37">
        <f t="shared" si="5"/>
        <v>6.8</v>
      </c>
      <c r="AI21" s="102">
        <f t="shared" si="6"/>
        <v>0</v>
      </c>
      <c r="AJ21" s="38">
        <f t="shared" si="7"/>
        <v>2.3804838399999997</v>
      </c>
      <c r="AK21" s="38">
        <f t="shared" ref="AK21:AK27" si="58">+(T21*U21-(T21-2*W21)*(U21-2*W21))/1000000</f>
        <v>0.6295161600000001</v>
      </c>
      <c r="AL21" s="38">
        <f t="shared" si="56"/>
        <v>0</v>
      </c>
      <c r="AM21" s="38">
        <f t="shared" ref="AM21:AM27" si="59">+(U21-2*W21)/1000000*Y21*Q21</f>
        <v>0</v>
      </c>
      <c r="AN21" s="38">
        <f t="shared" si="11"/>
        <v>2.271192855813954</v>
      </c>
      <c r="AO21" s="39">
        <f t="shared" si="12"/>
        <v>0</v>
      </c>
      <c r="AP21" s="92">
        <f t="shared" si="13"/>
        <v>0</v>
      </c>
      <c r="AQ21" s="94">
        <f t="shared" si="21"/>
        <v>2.271192855813954</v>
      </c>
      <c r="AR21" s="1">
        <f t="shared" si="22"/>
        <v>4</v>
      </c>
      <c r="AT21" s="49"/>
      <c r="AU21" s="29"/>
      <c r="AV21" s="29"/>
      <c r="AW21" s="48">
        <f>+AT21*AU21/1000000</f>
        <v>0</v>
      </c>
      <c r="AX21" s="29"/>
      <c r="AY21" s="29"/>
      <c r="AZ21" s="29"/>
      <c r="BA21" s="50"/>
      <c r="BB21" s="49"/>
      <c r="BC21" s="29"/>
      <c r="BD21" s="29"/>
      <c r="BE21" s="48">
        <f>+BB21*BC21/1000000</f>
        <v>0</v>
      </c>
      <c r="BF21" s="29"/>
      <c r="BG21" s="29"/>
      <c r="BH21" s="29"/>
      <c r="BI21" s="50"/>
      <c r="BJ21" s="49">
        <v>2900</v>
      </c>
      <c r="BK21" s="29">
        <v>2300</v>
      </c>
      <c r="BL21" s="29">
        <v>4</v>
      </c>
      <c r="BM21" s="48">
        <f>+BJ21*BK21/1000000</f>
        <v>6.67</v>
      </c>
      <c r="BN21" s="29">
        <v>4</v>
      </c>
      <c r="BO21" s="29" t="s">
        <v>82</v>
      </c>
      <c r="BP21" s="29" t="s">
        <v>81</v>
      </c>
      <c r="BQ21" s="50">
        <v>2</v>
      </c>
      <c r="BR21" s="49">
        <v>1600</v>
      </c>
      <c r="BS21" s="29">
        <v>2100</v>
      </c>
      <c r="BT21" s="29">
        <v>2</v>
      </c>
      <c r="BU21" s="48">
        <f>+BR21*BS21/1000000</f>
        <v>3.36</v>
      </c>
      <c r="BV21" s="29">
        <v>4</v>
      </c>
      <c r="BW21" s="29" t="s">
        <v>100</v>
      </c>
      <c r="BX21" s="29" t="s">
        <v>81</v>
      </c>
      <c r="BY21" s="50">
        <v>4</v>
      </c>
      <c r="BZ21" s="49">
        <v>1400</v>
      </c>
      <c r="CA21" s="29">
        <v>1500</v>
      </c>
      <c r="CB21" s="29">
        <f>+BZ21*CA21/1000000</f>
        <v>2.1</v>
      </c>
      <c r="CC21" s="29">
        <v>33</v>
      </c>
      <c r="CD21" s="29">
        <v>29</v>
      </c>
      <c r="CE21" s="29">
        <v>37</v>
      </c>
      <c r="CF21" s="29">
        <v>33</v>
      </c>
      <c r="CG21" s="29">
        <f>+V21/CB21*100</f>
        <v>143.33333333333331</v>
      </c>
      <c r="CH21" s="50">
        <f>+IF(CG21&lt;150,0,IF(CG21&lt;200,1,IF(CG21&lt;250,2,3)))</f>
        <v>0</v>
      </c>
      <c r="CI21" s="67">
        <f t="shared" si="15"/>
        <v>2150</v>
      </c>
      <c r="CJ21" s="69">
        <f t="shared" si="16"/>
        <v>3.01</v>
      </c>
      <c r="CK21" s="71">
        <v>2</v>
      </c>
      <c r="CL21" s="49" t="str">
        <f>+IF(OR(CJ21&gt;AW21*1.5,CK21&gt;AV21)=TRUE,"0",AX21)</f>
        <v>0</v>
      </c>
      <c r="CM21" s="29">
        <f>VALUE(IF(OR(CJ21&gt;AW21*1.5,CK21&gt;AV21)=TRUE,"0",IF(LEN(AY21)=2,MID(AY21,1,1),MID(AY21,2,4))))</f>
        <v>0</v>
      </c>
      <c r="CN21" s="29" t="str">
        <f>+IF(OR(CI21&gt;AU21,CJ21&gt;AW21,CK21&gt;AV21)=TRUE,"0",AZ21)</f>
        <v>0</v>
      </c>
      <c r="CO21" s="50" t="str">
        <f>+IF(OR(CI21&gt;AU21,CJ21&gt;AW21,CK21&gt;AV21)=TRUE,"0",BA21)</f>
        <v>0</v>
      </c>
      <c r="CP21" s="195" t="str">
        <f>+IF(OR(CJ21&gt;BE21*1.5,CK21&gt;BD21)=TRUE,"0",BF21)</f>
        <v>0</v>
      </c>
      <c r="CQ21" s="29">
        <f>VALUE(IF(OR(CJ21&gt;BE21*1.5,CK21&gt;BD21)=TRUE,"0",IF(LEN(BG21)=2,MID(BG21,1,1),MID(BG21,2,4))))</f>
        <v>0</v>
      </c>
      <c r="CR21" s="29" t="str">
        <f>+IF(OR(CI21&gt;BC21,CJ21&gt;BE21,CK21&gt;BD21)=TRUE,"0",BH21)</f>
        <v>0</v>
      </c>
      <c r="CS21" s="194" t="str">
        <f>+IF(OR(CI21&gt;BC21,CJ21&gt;BE21,CK21&gt;BD21)=TRUE,"0",BI21)</f>
        <v>0</v>
      </c>
      <c r="CT21" s="49">
        <f>+IF(OR(CJ21&gt;BM21*1.5,CK21&gt;BL21)=TRUE,"0",BN21)</f>
        <v>4</v>
      </c>
      <c r="CU21" s="29">
        <f>VALUE(IF(OR(CJ21&gt;BM21*1.5,CK21&gt;BL21)=TRUE,"0",IF(LEN(BO21)=2,MID(BO21,1,1),MID(BO21,2,4))))</f>
        <v>7</v>
      </c>
      <c r="CV21" s="29" t="str">
        <f>+IF(OR(CI21&gt;BK21,CJ21&gt;BM21,CK21&gt;BL21)=TRUE,"0",BP21)</f>
        <v>C</v>
      </c>
      <c r="CW21" s="50">
        <f>+IF(OR(CI21&gt;BK21,CJ21&gt;BM21,CK21&gt;BL21)=TRUE,"0",BQ21)</f>
        <v>2</v>
      </c>
      <c r="CX21" s="49">
        <f>+IF(OR(CJ21&gt;BU21*1.5,CK21&gt;BT21)=TRUE,"0",BV21)</f>
        <v>4</v>
      </c>
      <c r="CY21" s="29">
        <f>VALUE(IF(OR(CJ21&gt;BU21*1.5,CK21&gt;BT21)=TRUE,"0",IF(LEN(BW21)=2,MID(BW21,1,1),MID(BW21,2,4))))</f>
        <v>1200</v>
      </c>
      <c r="CZ21" s="29" t="str">
        <f>+IF(OR(CI21&gt;BS21,CJ21&gt;BU21,CK21&gt;BT21)=TRUE,"0",BX21)</f>
        <v>0</v>
      </c>
      <c r="DA21" s="50" t="str">
        <f>+IF(OR(CI21&gt;BS21,CJ21&gt;BU21,CK21&gt;BT21)=TRUE,"0",BY21)</f>
        <v>0</v>
      </c>
      <c r="DB21" s="49">
        <f>IF(MAX(CL21,CP21,CT21,CX21)=0,"NPD",MAX(CL21,CP21,CT21,CX21))</f>
        <v>4</v>
      </c>
      <c r="DC21" s="29" t="str">
        <f>IF(MAX(CM21,CQ21,CU21,CY21)&gt;10,"E"&amp;MAX(CM21,CQ21,CU21,CY21),IF(MAX(CM21,CQ21,CU21,CY21)=0,"NPD",MAX(CM21,CQ21,CU21,CY21)&amp;"A"))</f>
        <v>E1200</v>
      </c>
      <c r="DD21" s="29" t="str">
        <f>+IF(OR(CN21="C",CR21="C",CV21="C",CZ21="C")=TRUE,"C",IF(OR(CN21="B",CR21="B",CV21="B",CZ21="B")=TRUE,"B",IF(OR(CN21="A",CR21="A",CV21="A",CZ21="A")=TRUE,"A","B")))</f>
        <v>C</v>
      </c>
      <c r="DE21" s="29">
        <f>IF(MAX(CO21,CS21,CW21,DA21)=0,"1",MAX(CO21,CS21,CW21,DA21))</f>
        <v>2</v>
      </c>
      <c r="DF21" s="29">
        <f>+IF(D$22&lt;CD21,"NPD",IF(D$22&lt;CF21,CC21-CH21,CE21-CH21))</f>
        <v>37</v>
      </c>
      <c r="DG21" s="47">
        <f>+AN21</f>
        <v>2.271192855813954</v>
      </c>
    </row>
    <row r="22" spans="3:111" ht="15" hidden="1" thickBot="1">
      <c r="C22" s="8" t="s">
        <v>123</v>
      </c>
      <c r="D22" s="21">
        <f>+G11</f>
        <v>37</v>
      </c>
      <c r="F22" s="84" t="s">
        <v>124</v>
      </c>
      <c r="G22" s="85">
        <f>+VLOOKUP(D8,N8:DG28,97,FALSE)</f>
        <v>34</v>
      </c>
      <c r="I22"/>
      <c r="K22"/>
      <c r="L22" s="19"/>
      <c r="M22" s="19"/>
      <c r="N22" s="26" t="s">
        <v>125</v>
      </c>
      <c r="O22" s="41">
        <f t="shared" si="18"/>
        <v>1</v>
      </c>
      <c r="P22" s="36">
        <f t="shared" si="54"/>
        <v>0</v>
      </c>
      <c r="Q22" s="36">
        <f t="shared" si="55"/>
        <v>0</v>
      </c>
      <c r="R22" s="37" t="s">
        <v>23</v>
      </c>
      <c r="S22" s="37" t="str">
        <f t="shared" si="1"/>
        <v>BE</v>
      </c>
      <c r="T22" s="37">
        <f t="shared" si="52"/>
        <v>1400</v>
      </c>
      <c r="U22" s="37">
        <f t="shared" si="53"/>
        <v>2150</v>
      </c>
      <c r="V22" s="97">
        <f t="shared" si="4"/>
        <v>3.01</v>
      </c>
      <c r="W22" s="37">
        <v>98.4</v>
      </c>
      <c r="X22" s="37">
        <v>67.400000000000006</v>
      </c>
      <c r="Y22" s="37">
        <v>140.5</v>
      </c>
      <c r="Z22" s="102">
        <f t="shared" si="19"/>
        <v>1.1000000000000001</v>
      </c>
      <c r="AA22" s="110">
        <v>6.6</v>
      </c>
      <c r="AB22" s="56">
        <v>6</v>
      </c>
      <c r="AC22" s="111">
        <v>7</v>
      </c>
      <c r="AD22" s="110">
        <v>6.6</v>
      </c>
      <c r="AE22" s="56">
        <v>6</v>
      </c>
      <c r="AF22" s="111">
        <v>7</v>
      </c>
      <c r="AG22" s="105">
        <f t="shared" si="57"/>
        <v>6.6</v>
      </c>
      <c r="AH22" s="37">
        <f t="shared" si="5"/>
        <v>6</v>
      </c>
      <c r="AI22" s="102">
        <f t="shared" si="6"/>
        <v>7</v>
      </c>
      <c r="AJ22" s="38">
        <f t="shared" si="7"/>
        <v>2.3500902400000001</v>
      </c>
      <c r="AK22" s="38">
        <f t="shared" si="58"/>
        <v>0.65990975999999979</v>
      </c>
      <c r="AL22" s="38">
        <f t="shared" si="56"/>
        <v>0</v>
      </c>
      <c r="AM22" s="38">
        <f t="shared" si="59"/>
        <v>0</v>
      </c>
      <c r="AN22" s="38">
        <f t="shared" si="11"/>
        <v>2.3058151760797339</v>
      </c>
      <c r="AO22" s="39">
        <f t="shared" si="12"/>
        <v>0</v>
      </c>
      <c r="AP22" s="92">
        <f t="shared" si="13"/>
        <v>0</v>
      </c>
      <c r="AQ22" s="94">
        <f t="shared" si="21"/>
        <v>2.3058151760797339</v>
      </c>
      <c r="AR22" s="1">
        <f t="shared" si="22"/>
        <v>3</v>
      </c>
      <c r="AT22" s="49"/>
      <c r="AU22" s="29"/>
      <c r="AV22" s="29"/>
      <c r="AW22" s="48">
        <f t="shared" si="23"/>
        <v>0</v>
      </c>
      <c r="AX22" s="29"/>
      <c r="AY22" s="29"/>
      <c r="AZ22" s="29"/>
      <c r="BA22" s="50"/>
      <c r="BB22" s="49"/>
      <c r="BC22" s="29"/>
      <c r="BD22" s="29"/>
      <c r="BE22" s="48">
        <f t="shared" si="24"/>
        <v>0</v>
      </c>
      <c r="BF22" s="29"/>
      <c r="BG22" s="29"/>
      <c r="BH22" s="29"/>
      <c r="BI22" s="50"/>
      <c r="BJ22" s="49"/>
      <c r="BK22" s="29"/>
      <c r="BL22" s="29"/>
      <c r="BM22" s="48">
        <f t="shared" si="25"/>
        <v>0</v>
      </c>
      <c r="BN22" s="29"/>
      <c r="BO22" s="29"/>
      <c r="BP22" s="29"/>
      <c r="BQ22" s="50"/>
      <c r="BR22" s="49">
        <v>2000</v>
      </c>
      <c r="BS22" s="29">
        <v>1500</v>
      </c>
      <c r="BT22" s="29">
        <v>2</v>
      </c>
      <c r="BU22" s="48">
        <f t="shared" si="26"/>
        <v>3</v>
      </c>
      <c r="BV22" s="29">
        <v>3</v>
      </c>
      <c r="BW22" s="29" t="s">
        <v>126</v>
      </c>
      <c r="BX22" s="29" t="s">
        <v>81</v>
      </c>
      <c r="BY22" s="50">
        <v>1</v>
      </c>
      <c r="BZ22" s="49">
        <v>1230</v>
      </c>
      <c r="CA22" s="29">
        <v>1480</v>
      </c>
      <c r="CB22" s="29">
        <f t="shared" si="27"/>
        <v>1.8204</v>
      </c>
      <c r="CC22" s="29">
        <v>33</v>
      </c>
      <c r="CD22" s="29">
        <v>29</v>
      </c>
      <c r="CE22" s="29">
        <v>34</v>
      </c>
      <c r="CF22" s="29">
        <v>33</v>
      </c>
      <c r="CG22" s="29">
        <f t="shared" si="14"/>
        <v>165.34827510437265</v>
      </c>
      <c r="CH22" s="50">
        <f t="shared" si="28"/>
        <v>1</v>
      </c>
      <c r="CI22" s="67">
        <f t="shared" si="15"/>
        <v>2150</v>
      </c>
      <c r="CJ22" s="69">
        <f t="shared" si="16"/>
        <v>3.01</v>
      </c>
      <c r="CK22" s="71">
        <f t="shared" si="29"/>
        <v>1</v>
      </c>
      <c r="CL22" s="49" t="str">
        <f t="shared" si="30"/>
        <v>0</v>
      </c>
      <c r="CM22" s="29">
        <f t="shared" si="31"/>
        <v>0</v>
      </c>
      <c r="CN22" s="29" t="str">
        <f t="shared" si="32"/>
        <v>0</v>
      </c>
      <c r="CO22" s="50" t="str">
        <f t="shared" si="33"/>
        <v>0</v>
      </c>
      <c r="CP22" s="195" t="str">
        <f t="shared" si="34"/>
        <v>0</v>
      </c>
      <c r="CQ22" s="29">
        <f t="shared" si="35"/>
        <v>0</v>
      </c>
      <c r="CR22" s="29" t="str">
        <f t="shared" si="36"/>
        <v>0</v>
      </c>
      <c r="CS22" s="194" t="str">
        <f t="shared" si="37"/>
        <v>0</v>
      </c>
      <c r="CT22" s="49" t="str">
        <f t="shared" si="38"/>
        <v>0</v>
      </c>
      <c r="CU22" s="29">
        <f t="shared" si="39"/>
        <v>0</v>
      </c>
      <c r="CV22" s="29" t="str">
        <f t="shared" si="40"/>
        <v>0</v>
      </c>
      <c r="CW22" s="50" t="str">
        <f t="shared" si="41"/>
        <v>0</v>
      </c>
      <c r="CX22" s="49">
        <f t="shared" si="42"/>
        <v>3</v>
      </c>
      <c r="CY22" s="29">
        <f t="shared" si="43"/>
        <v>4</v>
      </c>
      <c r="CZ22" s="29" t="str">
        <f t="shared" si="44"/>
        <v>0</v>
      </c>
      <c r="DA22" s="50" t="str">
        <f t="shared" si="45"/>
        <v>0</v>
      </c>
      <c r="DB22" s="49">
        <f t="shared" si="46"/>
        <v>3</v>
      </c>
      <c r="DC22" s="29" t="str">
        <f t="shared" si="47"/>
        <v>4A</v>
      </c>
      <c r="DD22" s="29" t="str">
        <f t="shared" ref="DD22:DD28" si="60">+IF(OR(CN22="C",CR22="C",CV22="C",CZ22="C")=TRUE,"C",IF(OR(CN22="B",CR22="B",CV22="B",CZ22="B")=TRUE,"B",IF(OR(CN22="A",CR22="A",CV22="A",CZ22="A")=TRUE,"A","A")))</f>
        <v>A</v>
      </c>
      <c r="DE22" s="29" t="str">
        <f t="shared" si="49"/>
        <v>1</v>
      </c>
      <c r="DF22" s="29">
        <f t="shared" si="17"/>
        <v>33</v>
      </c>
      <c r="DG22" s="47">
        <f t="shared" si="50"/>
        <v>2.3058151760797339</v>
      </c>
    </row>
    <row r="23" spans="3:111" hidden="1">
      <c r="F23" s="84" t="s">
        <v>127</v>
      </c>
      <c r="G23" s="86">
        <f>+VLOOKUP(D8,N8:DG28,98,FALSE)</f>
        <v>1.2354925302325581</v>
      </c>
      <c r="I23"/>
      <c r="K23"/>
      <c r="L23" s="19"/>
      <c r="M23" s="19"/>
      <c r="N23" s="26" t="s">
        <v>128</v>
      </c>
      <c r="O23" s="41">
        <f t="shared" si="18"/>
        <v>1</v>
      </c>
      <c r="P23" s="36">
        <f t="shared" si="54"/>
        <v>0</v>
      </c>
      <c r="Q23" s="36">
        <f t="shared" si="55"/>
        <v>0</v>
      </c>
      <c r="R23" s="37" t="s">
        <v>21</v>
      </c>
      <c r="S23" s="37" t="str">
        <f t="shared" si="1"/>
        <v>BE</v>
      </c>
      <c r="T23" s="37">
        <f t="shared" si="52"/>
        <v>1400</v>
      </c>
      <c r="U23" s="37">
        <f t="shared" si="53"/>
        <v>2150</v>
      </c>
      <c r="V23" s="97">
        <f t="shared" si="4"/>
        <v>3.01</v>
      </c>
      <c r="W23" s="37">
        <v>113.1</v>
      </c>
      <c r="X23" s="37">
        <v>83.5</v>
      </c>
      <c r="Y23" s="37">
        <v>155.30000000000001</v>
      </c>
      <c r="Z23" s="102">
        <f t="shared" si="19"/>
        <v>1.1000000000000001</v>
      </c>
      <c r="AA23" s="110">
        <v>3.6</v>
      </c>
      <c r="AB23" s="56">
        <v>5.3</v>
      </c>
      <c r="AC23" s="111">
        <v>3</v>
      </c>
      <c r="AD23" s="110">
        <v>3.6</v>
      </c>
      <c r="AE23" s="56">
        <v>5.3</v>
      </c>
      <c r="AF23" s="111">
        <v>3</v>
      </c>
      <c r="AG23" s="105">
        <f t="shared" si="57"/>
        <v>3.6</v>
      </c>
      <c r="AH23" s="37">
        <f t="shared" si="5"/>
        <v>5.3</v>
      </c>
      <c r="AI23" s="102">
        <f t="shared" si="6"/>
        <v>3</v>
      </c>
      <c r="AJ23" s="38">
        <f t="shared" si="7"/>
        <v>2.2581564399999996</v>
      </c>
      <c r="AK23" s="38">
        <f t="shared" si="58"/>
        <v>0.75184356000000008</v>
      </c>
      <c r="AL23" s="38">
        <f t="shared" si="56"/>
        <v>0</v>
      </c>
      <c r="AM23" s="38">
        <f t="shared" si="59"/>
        <v>0</v>
      </c>
      <c r="AN23" s="38">
        <f t="shared" si="11"/>
        <v>1.7244547840531566</v>
      </c>
      <c r="AO23" s="39">
        <f t="shared" si="12"/>
        <v>0.08</v>
      </c>
      <c r="AP23" s="92">
        <f t="shared" si="13"/>
        <v>0.16465647840531564</v>
      </c>
      <c r="AQ23" s="94">
        <f t="shared" si="21"/>
        <v>1.7244547840531566</v>
      </c>
      <c r="AR23" s="1">
        <f t="shared" si="22"/>
        <v>4</v>
      </c>
      <c r="AT23" s="49">
        <v>2000</v>
      </c>
      <c r="AU23" s="29">
        <v>1500</v>
      </c>
      <c r="AV23" s="29">
        <v>2</v>
      </c>
      <c r="AW23" s="48">
        <f t="shared" si="23"/>
        <v>3</v>
      </c>
      <c r="AX23" s="29">
        <v>4</v>
      </c>
      <c r="AY23" s="29" t="s">
        <v>82</v>
      </c>
      <c r="AZ23" s="29" t="s">
        <v>81</v>
      </c>
      <c r="BA23" s="50">
        <v>2</v>
      </c>
      <c r="BB23" s="49">
        <v>2900</v>
      </c>
      <c r="BC23" s="29">
        <v>2100</v>
      </c>
      <c r="BD23" s="29">
        <v>3</v>
      </c>
      <c r="BE23" s="48">
        <f t="shared" si="24"/>
        <v>6.09</v>
      </c>
      <c r="BF23" s="29">
        <v>4</v>
      </c>
      <c r="BG23" s="29" t="s">
        <v>129</v>
      </c>
      <c r="BH23" s="29" t="s">
        <v>81</v>
      </c>
      <c r="BI23" s="50">
        <v>1</v>
      </c>
      <c r="BJ23" s="49">
        <v>2900</v>
      </c>
      <c r="BK23" s="29">
        <v>2100</v>
      </c>
      <c r="BL23" s="29">
        <v>4</v>
      </c>
      <c r="BM23" s="48">
        <f t="shared" si="25"/>
        <v>6.09</v>
      </c>
      <c r="BN23" s="29">
        <v>4</v>
      </c>
      <c r="BO23" s="29" t="s">
        <v>126</v>
      </c>
      <c r="BP23" s="29" t="s">
        <v>81</v>
      </c>
      <c r="BQ23" s="50">
        <v>1</v>
      </c>
      <c r="BR23" s="49">
        <v>2900</v>
      </c>
      <c r="BS23" s="29">
        <v>2300</v>
      </c>
      <c r="BT23" s="29">
        <v>2</v>
      </c>
      <c r="BU23" s="48">
        <f t="shared" si="26"/>
        <v>6.67</v>
      </c>
      <c r="BV23" s="29">
        <v>4</v>
      </c>
      <c r="BW23" s="29" t="s">
        <v>126</v>
      </c>
      <c r="BX23" s="29" t="s">
        <v>130</v>
      </c>
      <c r="BY23" s="50">
        <v>1</v>
      </c>
      <c r="BZ23" s="49">
        <v>1230</v>
      </c>
      <c r="CA23" s="29">
        <v>1480</v>
      </c>
      <c r="CB23" s="29">
        <f t="shared" si="27"/>
        <v>1.8204</v>
      </c>
      <c r="CC23" s="29">
        <v>31</v>
      </c>
      <c r="CD23" s="29">
        <v>29</v>
      </c>
      <c r="CE23" s="29">
        <v>33</v>
      </c>
      <c r="CF23" s="29">
        <v>33</v>
      </c>
      <c r="CG23" s="29">
        <f t="shared" si="14"/>
        <v>165.34827510437265</v>
      </c>
      <c r="CH23" s="50">
        <f t="shared" si="28"/>
        <v>1</v>
      </c>
      <c r="CI23" s="67">
        <f t="shared" si="15"/>
        <v>2150</v>
      </c>
      <c r="CJ23" s="69">
        <f t="shared" si="16"/>
        <v>3.01</v>
      </c>
      <c r="CK23" s="71">
        <f t="shared" si="29"/>
        <v>1</v>
      </c>
      <c r="CL23" s="49">
        <f t="shared" si="30"/>
        <v>4</v>
      </c>
      <c r="CM23" s="29">
        <f t="shared" si="31"/>
        <v>7</v>
      </c>
      <c r="CN23" s="29" t="str">
        <f t="shared" si="32"/>
        <v>0</v>
      </c>
      <c r="CO23" s="50" t="str">
        <f t="shared" si="33"/>
        <v>0</v>
      </c>
      <c r="CP23" s="195">
        <f t="shared" si="34"/>
        <v>4</v>
      </c>
      <c r="CQ23" s="29">
        <f t="shared" si="35"/>
        <v>5</v>
      </c>
      <c r="CR23" s="29" t="str">
        <f t="shared" si="36"/>
        <v>0</v>
      </c>
      <c r="CS23" s="194" t="str">
        <f t="shared" si="37"/>
        <v>0</v>
      </c>
      <c r="CT23" s="49">
        <f t="shared" si="38"/>
        <v>4</v>
      </c>
      <c r="CU23" s="29">
        <f t="shared" si="39"/>
        <v>4</v>
      </c>
      <c r="CV23" s="29" t="str">
        <f t="shared" si="40"/>
        <v>0</v>
      </c>
      <c r="CW23" s="50" t="str">
        <f t="shared" si="41"/>
        <v>0</v>
      </c>
      <c r="CX23" s="49">
        <f t="shared" si="42"/>
        <v>4</v>
      </c>
      <c r="CY23" s="29">
        <f t="shared" si="43"/>
        <v>4</v>
      </c>
      <c r="CZ23" s="29" t="str">
        <f t="shared" si="44"/>
        <v>B</v>
      </c>
      <c r="DA23" s="50">
        <f t="shared" si="45"/>
        <v>1</v>
      </c>
      <c r="DB23" s="49">
        <f t="shared" si="46"/>
        <v>4</v>
      </c>
      <c r="DC23" s="29" t="str">
        <f t="shared" si="47"/>
        <v>7A</v>
      </c>
      <c r="DD23" s="29" t="str">
        <f t="shared" si="60"/>
        <v>B</v>
      </c>
      <c r="DE23" s="29">
        <f t="shared" ref="DE23:DE28" si="61">IF(MAX(CO23,CS23,CW23,DA23)=0,"1",MAX(CO23,CS23,CW23,DA23))</f>
        <v>1</v>
      </c>
      <c r="DF23" s="29">
        <f t="shared" si="17"/>
        <v>32</v>
      </c>
      <c r="DG23" s="47">
        <f t="shared" si="50"/>
        <v>1.7244547840531566</v>
      </c>
    </row>
    <row r="24" spans="3:111" ht="15" hidden="1" thickBot="1">
      <c r="F24" s="87" t="s">
        <v>131</v>
      </c>
      <c r="G24" s="88">
        <f>+VLOOKUP(D8,N8:DG28,93,FALSE)</f>
        <v>4</v>
      </c>
      <c r="I24"/>
      <c r="J24"/>
      <c r="K24"/>
      <c r="L24" s="19"/>
      <c r="M24" s="19"/>
      <c r="N24" s="26" t="s">
        <v>132</v>
      </c>
      <c r="O24" s="41">
        <f t="shared" si="18"/>
        <v>1</v>
      </c>
      <c r="P24" s="36">
        <f t="shared" si="54"/>
        <v>0</v>
      </c>
      <c r="Q24" s="36">
        <f t="shared" si="55"/>
        <v>0</v>
      </c>
      <c r="R24" s="37" t="s">
        <v>21</v>
      </c>
      <c r="S24" s="37" t="str">
        <f t="shared" si="1"/>
        <v>BE</v>
      </c>
      <c r="T24" s="37">
        <f t="shared" si="52"/>
        <v>1400</v>
      </c>
      <c r="U24" s="37">
        <f t="shared" si="53"/>
        <v>2150</v>
      </c>
      <c r="V24" s="97">
        <f t="shared" si="4"/>
        <v>3.01</v>
      </c>
      <c r="W24" s="37">
        <v>113.5</v>
      </c>
      <c r="X24" s="37">
        <v>91</v>
      </c>
      <c r="Y24" s="37">
        <v>163</v>
      </c>
      <c r="Z24" s="102">
        <f t="shared" si="19"/>
        <v>1.1000000000000001</v>
      </c>
      <c r="AA24" s="110">
        <v>3.8</v>
      </c>
      <c r="AB24" s="56">
        <v>6</v>
      </c>
      <c r="AC24" s="111">
        <v>3.5</v>
      </c>
      <c r="AD24" s="110">
        <v>3.6</v>
      </c>
      <c r="AE24" s="56">
        <v>5.5</v>
      </c>
      <c r="AF24" s="111">
        <v>3.5</v>
      </c>
      <c r="AG24" s="105">
        <f t="shared" si="57"/>
        <v>3.6</v>
      </c>
      <c r="AH24" s="37">
        <f t="shared" si="5"/>
        <v>5.5</v>
      </c>
      <c r="AI24" s="102">
        <f t="shared" si="6"/>
        <v>3.5</v>
      </c>
      <c r="AJ24" s="38">
        <f t="shared" si="7"/>
        <v>2.2556789999999998</v>
      </c>
      <c r="AK24" s="38">
        <f t="shared" si="58"/>
        <v>0.75432100000000002</v>
      </c>
      <c r="AL24" s="38">
        <f t="shared" si="56"/>
        <v>0</v>
      </c>
      <c r="AM24" s="38">
        <f t="shared" si="59"/>
        <v>0</v>
      </c>
      <c r="AN24" s="38">
        <f t="shared" si="11"/>
        <v>1.726512458471761</v>
      </c>
      <c r="AO24" s="39">
        <f t="shared" si="12"/>
        <v>0.08</v>
      </c>
      <c r="AP24" s="92">
        <f t="shared" si="13"/>
        <v>0.16457142857142859</v>
      </c>
      <c r="AQ24" s="94">
        <f t="shared" si="21"/>
        <v>1.726512458471761</v>
      </c>
      <c r="AR24" s="1">
        <f t="shared" si="22"/>
        <v>3</v>
      </c>
      <c r="AT24" s="49">
        <v>2000</v>
      </c>
      <c r="AU24" s="29">
        <v>1500</v>
      </c>
      <c r="AV24" s="29">
        <v>2</v>
      </c>
      <c r="AW24" s="48">
        <f>+AT24*AU24/1000000</f>
        <v>3</v>
      </c>
      <c r="AX24" s="29">
        <v>3</v>
      </c>
      <c r="AY24" s="29" t="s">
        <v>129</v>
      </c>
      <c r="AZ24" s="29" t="s">
        <v>81</v>
      </c>
      <c r="BA24" s="50">
        <v>1</v>
      </c>
      <c r="BB24" s="49">
        <v>2900</v>
      </c>
      <c r="BC24" s="29">
        <v>2100</v>
      </c>
      <c r="BD24" s="29">
        <v>3</v>
      </c>
      <c r="BE24" s="48">
        <f t="shared" si="24"/>
        <v>6.09</v>
      </c>
      <c r="BF24" s="29">
        <v>3</v>
      </c>
      <c r="BG24" s="29" t="s">
        <v>133</v>
      </c>
      <c r="BH24" s="29" t="s">
        <v>81</v>
      </c>
      <c r="BI24" s="50">
        <v>1</v>
      </c>
      <c r="BJ24" s="49">
        <v>2900</v>
      </c>
      <c r="BK24" s="29">
        <v>2100</v>
      </c>
      <c r="BL24" s="29">
        <v>4</v>
      </c>
      <c r="BM24" s="48">
        <f t="shared" si="25"/>
        <v>6.09</v>
      </c>
      <c r="BN24" s="29">
        <v>3</v>
      </c>
      <c r="BO24" s="29" t="s">
        <v>126</v>
      </c>
      <c r="BP24" s="29" t="s">
        <v>81</v>
      </c>
      <c r="BQ24" s="50">
        <v>1</v>
      </c>
      <c r="BR24" s="49">
        <v>2900</v>
      </c>
      <c r="BS24" s="29">
        <v>2300</v>
      </c>
      <c r="BT24" s="29">
        <v>2</v>
      </c>
      <c r="BU24" s="48">
        <f t="shared" si="26"/>
        <v>6.67</v>
      </c>
      <c r="BV24" s="29">
        <v>3</v>
      </c>
      <c r="BW24" s="29" t="s">
        <v>134</v>
      </c>
      <c r="BX24" s="29" t="s">
        <v>130</v>
      </c>
      <c r="BY24" s="50">
        <v>1</v>
      </c>
      <c r="BZ24" s="49">
        <v>1230</v>
      </c>
      <c r="CA24" s="29">
        <v>1480</v>
      </c>
      <c r="CB24" s="29">
        <f t="shared" si="27"/>
        <v>1.8204</v>
      </c>
      <c r="CC24" s="29">
        <v>31</v>
      </c>
      <c r="CD24" s="29">
        <v>29</v>
      </c>
      <c r="CE24" s="29">
        <v>32</v>
      </c>
      <c r="CF24" s="29">
        <v>33</v>
      </c>
      <c r="CG24" s="29">
        <f t="shared" si="14"/>
        <v>165.34827510437265</v>
      </c>
      <c r="CH24" s="50">
        <f t="shared" si="28"/>
        <v>1</v>
      </c>
      <c r="CI24" s="67">
        <f t="shared" si="15"/>
        <v>2150</v>
      </c>
      <c r="CJ24" s="69">
        <f t="shared" si="16"/>
        <v>3.01</v>
      </c>
      <c r="CK24" s="71">
        <f t="shared" si="29"/>
        <v>1</v>
      </c>
      <c r="CL24" s="49">
        <f t="shared" si="30"/>
        <v>3</v>
      </c>
      <c r="CM24" s="29">
        <f t="shared" si="31"/>
        <v>5</v>
      </c>
      <c r="CN24" s="29" t="str">
        <f t="shared" si="32"/>
        <v>0</v>
      </c>
      <c r="CO24" s="50" t="str">
        <f t="shared" si="33"/>
        <v>0</v>
      </c>
      <c r="CP24" s="195">
        <f t="shared" si="34"/>
        <v>3</v>
      </c>
      <c r="CQ24" s="29">
        <f t="shared" si="35"/>
        <v>2</v>
      </c>
      <c r="CR24" s="29" t="str">
        <f t="shared" si="36"/>
        <v>0</v>
      </c>
      <c r="CS24" s="194" t="str">
        <f t="shared" si="37"/>
        <v>0</v>
      </c>
      <c r="CT24" s="49">
        <f t="shared" si="38"/>
        <v>3</v>
      </c>
      <c r="CU24" s="29">
        <f t="shared" si="39"/>
        <v>4</v>
      </c>
      <c r="CV24" s="29" t="str">
        <f t="shared" si="40"/>
        <v>0</v>
      </c>
      <c r="CW24" s="50" t="str">
        <f t="shared" si="41"/>
        <v>0</v>
      </c>
      <c r="CX24" s="49">
        <f t="shared" si="42"/>
        <v>3</v>
      </c>
      <c r="CY24" s="29">
        <f t="shared" si="43"/>
        <v>3</v>
      </c>
      <c r="CZ24" s="29" t="str">
        <f t="shared" si="44"/>
        <v>B</v>
      </c>
      <c r="DA24" s="50">
        <f t="shared" si="45"/>
        <v>1</v>
      </c>
      <c r="DB24" s="49">
        <f t="shared" si="46"/>
        <v>3</v>
      </c>
      <c r="DC24" s="29" t="str">
        <f t="shared" si="47"/>
        <v>5A</v>
      </c>
      <c r="DD24" s="29" t="str">
        <f t="shared" si="60"/>
        <v>B</v>
      </c>
      <c r="DE24" s="29">
        <f t="shared" si="61"/>
        <v>1</v>
      </c>
      <c r="DF24" s="29">
        <f t="shared" si="17"/>
        <v>31</v>
      </c>
      <c r="DG24" s="47">
        <f t="shared" si="50"/>
        <v>1.726512458471761</v>
      </c>
    </row>
    <row r="25" spans="3:111" ht="15" thickBot="1">
      <c r="C25" s="17" t="s">
        <v>135</v>
      </c>
      <c r="D25" s="10"/>
      <c r="J25"/>
      <c r="K25"/>
      <c r="N25" s="117" t="s">
        <v>136</v>
      </c>
      <c r="O25" s="41">
        <f t="shared" si="18"/>
        <v>1</v>
      </c>
      <c r="P25" s="36">
        <f t="shared" ref="P25:Q28" si="62">+H$19</f>
        <v>0</v>
      </c>
      <c r="Q25" s="36">
        <f t="shared" si="62"/>
        <v>0</v>
      </c>
      <c r="R25" s="37" t="s">
        <v>21</v>
      </c>
      <c r="S25" s="37" t="str">
        <f t="shared" si="1"/>
        <v>BE</v>
      </c>
      <c r="T25" s="37">
        <f t="shared" si="52"/>
        <v>1400</v>
      </c>
      <c r="U25" s="37">
        <f t="shared" si="53"/>
        <v>2150</v>
      </c>
      <c r="V25" s="97">
        <f t="shared" si="4"/>
        <v>3.01</v>
      </c>
      <c r="W25" s="118">
        <v>115.6</v>
      </c>
      <c r="X25" s="118">
        <v>26</v>
      </c>
      <c r="Y25" s="118">
        <v>163</v>
      </c>
      <c r="Z25" s="102">
        <f t="shared" si="19"/>
        <v>1.1000000000000001</v>
      </c>
      <c r="AA25" s="120">
        <v>3.7</v>
      </c>
      <c r="AB25" s="121">
        <v>4.0999999999999996</v>
      </c>
      <c r="AC25" s="122">
        <v>4.0999999999999996</v>
      </c>
      <c r="AD25" s="120">
        <v>3.3</v>
      </c>
      <c r="AE25" s="121">
        <v>3.5</v>
      </c>
      <c r="AF25" s="122">
        <v>3.5</v>
      </c>
      <c r="AG25" s="123">
        <f t="shared" si="57"/>
        <v>3.3</v>
      </c>
      <c r="AH25" s="118">
        <f t="shared" si="5"/>
        <v>3.5</v>
      </c>
      <c r="AI25" s="119">
        <f t="shared" si="6"/>
        <v>3.5</v>
      </c>
      <c r="AJ25" s="38">
        <f t="shared" si="7"/>
        <v>2.2426934399999996</v>
      </c>
      <c r="AK25" s="38">
        <f t="shared" si="58"/>
        <v>0.76730656000000008</v>
      </c>
      <c r="AL25" s="38">
        <f t="shared" si="56"/>
        <v>0</v>
      </c>
      <c r="AM25" s="38">
        <f t="shared" si="59"/>
        <v>0</v>
      </c>
      <c r="AN25" s="38">
        <f t="shared" si="11"/>
        <v>1.6608220704318939</v>
      </c>
      <c r="AO25" s="39">
        <f t="shared" si="12"/>
        <v>0.08</v>
      </c>
      <c r="AP25" s="92">
        <f t="shared" si="13"/>
        <v>0.1641249169435216</v>
      </c>
      <c r="AQ25" s="94">
        <f t="shared" si="21"/>
        <v>1.6608220704318939</v>
      </c>
      <c r="AR25" s="1">
        <f t="shared" si="22"/>
        <v>3</v>
      </c>
      <c r="AT25" s="49">
        <v>2000</v>
      </c>
      <c r="AU25" s="29">
        <v>1500</v>
      </c>
      <c r="AV25" s="29">
        <v>2</v>
      </c>
      <c r="AW25" s="48">
        <f>+AT25*AU25/1000000</f>
        <v>3</v>
      </c>
      <c r="AX25" s="29">
        <v>3</v>
      </c>
      <c r="AY25" s="29" t="s">
        <v>129</v>
      </c>
      <c r="AZ25" s="29" t="s">
        <v>81</v>
      </c>
      <c r="BA25" s="50">
        <v>4</v>
      </c>
      <c r="BB25" s="49">
        <v>2900</v>
      </c>
      <c r="BC25" s="29">
        <v>2100</v>
      </c>
      <c r="BD25" s="29">
        <v>3</v>
      </c>
      <c r="BE25" s="48">
        <f t="shared" si="24"/>
        <v>6.09</v>
      </c>
      <c r="BF25" s="29">
        <v>3</v>
      </c>
      <c r="BG25" s="29" t="s">
        <v>129</v>
      </c>
      <c r="BH25" s="29" t="s">
        <v>81</v>
      </c>
      <c r="BI25" s="50">
        <v>1</v>
      </c>
      <c r="BJ25" s="49">
        <v>2900</v>
      </c>
      <c r="BK25" s="29">
        <v>2100</v>
      </c>
      <c r="BL25" s="29">
        <v>4</v>
      </c>
      <c r="BM25" s="48">
        <f t="shared" si="25"/>
        <v>6.09</v>
      </c>
      <c r="BN25" s="29">
        <v>3</v>
      </c>
      <c r="BO25" s="29" t="s">
        <v>126</v>
      </c>
      <c r="BP25" s="29" t="s">
        <v>81</v>
      </c>
      <c r="BQ25" s="50">
        <v>1</v>
      </c>
      <c r="BR25" s="49">
        <v>2900</v>
      </c>
      <c r="BS25" s="29">
        <v>2300</v>
      </c>
      <c r="BT25" s="29">
        <v>2</v>
      </c>
      <c r="BU25" s="48">
        <f t="shared" si="26"/>
        <v>6.67</v>
      </c>
      <c r="BV25" s="29">
        <v>3</v>
      </c>
      <c r="BW25" s="29" t="s">
        <v>126</v>
      </c>
      <c r="BX25" s="29" t="s">
        <v>130</v>
      </c>
      <c r="BY25" s="50">
        <v>1</v>
      </c>
      <c r="BZ25" s="49">
        <v>1400</v>
      </c>
      <c r="CA25" s="29">
        <v>1500</v>
      </c>
      <c r="CB25" s="29">
        <f t="shared" si="27"/>
        <v>2.1</v>
      </c>
      <c r="CC25" s="29">
        <v>31</v>
      </c>
      <c r="CD25" s="29">
        <v>29</v>
      </c>
      <c r="CE25" s="29">
        <v>33</v>
      </c>
      <c r="CF25" s="29">
        <v>33</v>
      </c>
      <c r="CG25" s="29">
        <f t="shared" si="14"/>
        <v>143.33333333333331</v>
      </c>
      <c r="CH25" s="50">
        <f t="shared" si="28"/>
        <v>0</v>
      </c>
      <c r="CI25" s="67">
        <f t="shared" si="15"/>
        <v>2150</v>
      </c>
      <c r="CJ25" s="69">
        <f t="shared" si="16"/>
        <v>3.01</v>
      </c>
      <c r="CK25" s="71">
        <f t="shared" si="29"/>
        <v>1</v>
      </c>
      <c r="CL25" s="49">
        <f t="shared" si="30"/>
        <v>3</v>
      </c>
      <c r="CM25" s="29">
        <f t="shared" si="31"/>
        <v>5</v>
      </c>
      <c r="CN25" s="29" t="str">
        <f t="shared" si="32"/>
        <v>0</v>
      </c>
      <c r="CO25" s="50" t="str">
        <f t="shared" si="33"/>
        <v>0</v>
      </c>
      <c r="CP25" s="195">
        <f t="shared" si="34"/>
        <v>3</v>
      </c>
      <c r="CQ25" s="29">
        <f t="shared" si="35"/>
        <v>5</v>
      </c>
      <c r="CR25" s="29" t="str">
        <f t="shared" si="36"/>
        <v>0</v>
      </c>
      <c r="CS25" s="194" t="str">
        <f t="shared" si="37"/>
        <v>0</v>
      </c>
      <c r="CT25" s="49">
        <f t="shared" si="38"/>
        <v>3</v>
      </c>
      <c r="CU25" s="29">
        <f t="shared" si="39"/>
        <v>4</v>
      </c>
      <c r="CV25" s="29" t="str">
        <f t="shared" si="40"/>
        <v>0</v>
      </c>
      <c r="CW25" s="50" t="str">
        <f t="shared" si="41"/>
        <v>0</v>
      </c>
      <c r="CX25" s="49">
        <f t="shared" si="42"/>
        <v>3</v>
      </c>
      <c r="CY25" s="29">
        <f t="shared" si="43"/>
        <v>4</v>
      </c>
      <c r="CZ25" s="29" t="str">
        <f t="shared" si="44"/>
        <v>B</v>
      </c>
      <c r="DA25" s="50">
        <f t="shared" si="45"/>
        <v>1</v>
      </c>
      <c r="DB25" s="49">
        <f t="shared" si="46"/>
        <v>3</v>
      </c>
      <c r="DC25" s="29" t="str">
        <f t="shared" si="47"/>
        <v>5A</v>
      </c>
      <c r="DD25" s="29" t="str">
        <f t="shared" si="60"/>
        <v>B</v>
      </c>
      <c r="DE25" s="29">
        <f t="shared" si="61"/>
        <v>1</v>
      </c>
      <c r="DF25" s="29">
        <f t="shared" si="17"/>
        <v>33</v>
      </c>
      <c r="DG25" s="47">
        <f t="shared" si="50"/>
        <v>1.6608220704318939</v>
      </c>
    </row>
    <row r="26" spans="3:111" hidden="1">
      <c r="C26" s="124"/>
      <c r="D26" s="125"/>
      <c r="G26" s="20"/>
      <c r="J26"/>
      <c r="K26"/>
      <c r="N26" s="117" t="s">
        <v>137</v>
      </c>
      <c r="O26" s="41">
        <f t="shared" si="18"/>
        <v>1</v>
      </c>
      <c r="P26" s="36">
        <f>+H$19</f>
        <v>0</v>
      </c>
      <c r="Q26" s="36">
        <f>+I$19</f>
        <v>0</v>
      </c>
      <c r="R26" s="37" t="s">
        <v>21</v>
      </c>
      <c r="S26" s="37" t="str">
        <f>+IF(I$9="N","N","BE")</f>
        <v>BE</v>
      </c>
      <c r="T26" s="37">
        <f t="shared" si="52"/>
        <v>1400</v>
      </c>
      <c r="U26" s="37">
        <f t="shared" si="53"/>
        <v>2150</v>
      </c>
      <c r="V26" s="97">
        <f>+T26*U26/1000000</f>
        <v>3.01</v>
      </c>
      <c r="W26" s="118">
        <v>111.1</v>
      </c>
      <c r="X26" s="118">
        <v>36.799999999999997</v>
      </c>
      <c r="Y26" s="118">
        <v>154.6</v>
      </c>
      <c r="Z26" s="102">
        <f t="shared" si="19"/>
        <v>1.1000000000000001</v>
      </c>
      <c r="AA26" s="120">
        <v>3.5</v>
      </c>
      <c r="AB26" s="121">
        <v>6</v>
      </c>
      <c r="AC26" s="122">
        <v>3.5</v>
      </c>
      <c r="AD26" s="120">
        <v>3.5</v>
      </c>
      <c r="AE26" s="121">
        <v>6</v>
      </c>
      <c r="AF26" s="122">
        <v>3.5</v>
      </c>
      <c r="AG26" s="123">
        <f>+IF($D$12="SI",AD26,AA26)</f>
        <v>3.5</v>
      </c>
      <c r="AH26" s="118">
        <f>+IF($D$12="SI",AE26,AB26)</f>
        <v>6</v>
      </c>
      <c r="AI26" s="119">
        <f>+IF($D$12="SI",AF26,AC26)</f>
        <v>3.5</v>
      </c>
      <c r="AJ26" s="38">
        <f>+(T26*U26)/1000000-AK26-AL26-AM26</f>
        <v>2.2705628399999997</v>
      </c>
      <c r="AK26" s="38">
        <f>+(T26*U26-(T26-2*W26)*(U26-2*W26))/1000000</f>
        <v>0.73943716000000015</v>
      </c>
      <c r="AL26" s="38">
        <f>+(U26-2*W26)/1000000*X26*P26</f>
        <v>0</v>
      </c>
      <c r="AM26" s="38">
        <f>+(U26-2*W26)/1000000*Y26*Q26</f>
        <v>0</v>
      </c>
      <c r="AN26" s="38">
        <f>+(Z26*AJ26+AG26*AK26+AL26*AH26+AI26*AM26)/(AJ26+AK26+AL26+AM26)</f>
        <v>1.6895844465116281</v>
      </c>
      <c r="AO26" s="39">
        <f>+IF(R26="NO",0,IF(S26="BE",0.08,0.06))</f>
        <v>0.08</v>
      </c>
      <c r="AP26" s="92">
        <f>+AO26*((T26-2*W26-P26*X26-Q26*Y26)/1000*2+(U26-2*W26)/1000*2*(P26+Q26+1))/(AJ26+AK26+AL26+AM26)</f>
        <v>0.16508172757475084</v>
      </c>
      <c r="AQ26" s="94">
        <f t="shared" si="21"/>
        <v>1.6895844465116281</v>
      </c>
      <c r="AR26" s="1">
        <f t="shared" si="22"/>
        <v>3</v>
      </c>
      <c r="AT26" s="73"/>
      <c r="AU26" s="75"/>
      <c r="AV26" s="75"/>
      <c r="AW26" s="48"/>
      <c r="AX26" s="75"/>
      <c r="AY26" s="75"/>
      <c r="AZ26" s="75"/>
      <c r="BA26" s="76"/>
      <c r="BB26" s="73"/>
      <c r="BC26" s="75"/>
      <c r="BD26" s="75"/>
      <c r="BE26" s="48"/>
      <c r="BF26" s="75"/>
      <c r="BG26" s="75"/>
      <c r="BH26" s="75"/>
      <c r="BI26" s="76"/>
      <c r="BJ26" s="73"/>
      <c r="BK26" s="75"/>
      <c r="BL26" s="75"/>
      <c r="BM26" s="48"/>
      <c r="BN26" s="75"/>
      <c r="BO26" s="75"/>
      <c r="BP26" s="75"/>
      <c r="BQ26" s="76"/>
      <c r="BR26" s="73">
        <v>2900</v>
      </c>
      <c r="BS26" s="75">
        <v>2100</v>
      </c>
      <c r="BT26" s="75">
        <v>2</v>
      </c>
      <c r="BU26" s="48">
        <f>+BR26*BS26/1000000</f>
        <v>6.09</v>
      </c>
      <c r="BV26" s="75">
        <v>3</v>
      </c>
      <c r="BW26" s="75" t="s">
        <v>82</v>
      </c>
      <c r="BX26" s="75" t="s">
        <v>81</v>
      </c>
      <c r="BY26" s="76">
        <v>1</v>
      </c>
      <c r="BZ26" s="49">
        <v>1400</v>
      </c>
      <c r="CA26" s="29">
        <v>1500</v>
      </c>
      <c r="CB26" s="29">
        <f>+BZ26*CA26/1000000</f>
        <v>2.1</v>
      </c>
      <c r="CC26" s="29">
        <v>31</v>
      </c>
      <c r="CD26" s="29">
        <v>29</v>
      </c>
      <c r="CE26" s="29">
        <v>33</v>
      </c>
      <c r="CF26" s="29">
        <v>33</v>
      </c>
      <c r="CG26" s="29">
        <f>+V26/CB26*100</f>
        <v>143.33333333333331</v>
      </c>
      <c r="CH26" s="50">
        <f>+IF(CG26&lt;150,0,IF(CG26&lt;200,1,IF(CG26&lt;250,2,3)))</f>
        <v>0</v>
      </c>
      <c r="CI26" s="67">
        <f>+U26</f>
        <v>2150</v>
      </c>
      <c r="CJ26" s="69">
        <f>+V26</f>
        <v>3.01</v>
      </c>
      <c r="CK26" s="71">
        <f t="shared" si="29"/>
        <v>1</v>
      </c>
      <c r="CL26" s="49" t="str">
        <f>+IF(OR(CJ26&gt;AW26*1.5,CK26&gt;AV26)=TRUE,"0",AX26)</f>
        <v>0</v>
      </c>
      <c r="CM26" s="29">
        <f>VALUE(IF(OR(CJ26&gt;AW26*1.5,CK26&gt;AV26)=TRUE,"0",IF(LEN(AY26)=2,MID(AY26,1,1),MID(AY26,2,4))))</f>
        <v>0</v>
      </c>
      <c r="CN26" s="29" t="str">
        <f>+IF(OR(CI26&gt;AU26,CJ26&gt;AW26,CK26&gt;AV26)=TRUE,"0",AZ26)</f>
        <v>0</v>
      </c>
      <c r="CO26" s="50" t="str">
        <f>+IF(OR(CI26&gt;AU26,CJ26&gt;AW26,CK26&gt;AV26)=TRUE,"0",BA26)</f>
        <v>0</v>
      </c>
      <c r="CP26" s="195" t="str">
        <f>+IF(OR(CJ26&gt;BE26*1.5,CK26&gt;BD26)=TRUE,"0",BF26)</f>
        <v>0</v>
      </c>
      <c r="CQ26" s="29">
        <f>VALUE(IF(OR(CJ26&gt;BE26*1.5,CK26&gt;BD26)=TRUE,"0",IF(LEN(BG26)=2,MID(BG26,1,1),MID(BG26,2,4))))</f>
        <v>0</v>
      </c>
      <c r="CR26" s="29" t="str">
        <f>+IF(OR(CI26&gt;BC26,CJ26&gt;BE26,CK26&gt;BD26)=TRUE,"0",BH26)</f>
        <v>0</v>
      </c>
      <c r="CS26" s="194" t="str">
        <f>+IF(OR(CI26&gt;BC26,CJ26&gt;BE26,CK26&gt;BD26)=TRUE,"0",BI26)</f>
        <v>0</v>
      </c>
      <c r="CT26" s="49" t="str">
        <f>+IF(OR(CJ26&gt;BM26*1.5,CK26&gt;BL26)=TRUE,"0",BN26)</f>
        <v>0</v>
      </c>
      <c r="CU26" s="29">
        <f>VALUE(IF(OR(CJ26&gt;BM26*1.5,CK26&gt;BL26)=TRUE,"0",IF(LEN(BO26)=2,MID(BO26,1,1),MID(BO26,2,4))))</f>
        <v>0</v>
      </c>
      <c r="CV26" s="29" t="str">
        <f>+IF(OR(CI26&gt;BK26,CJ26&gt;BM26,CK26&gt;BL26)=TRUE,"0",BP26)</f>
        <v>0</v>
      </c>
      <c r="CW26" s="50" t="str">
        <f>+IF(OR(CI26&gt;BK26,CJ26&gt;BM26,CK26&gt;BL26)=TRUE,"0",BQ26)</f>
        <v>0</v>
      </c>
      <c r="CX26" s="49">
        <f>+IF(OR(CJ26&gt;BU26*1.5,CK26&gt;BT26)=TRUE,"0",BV26)</f>
        <v>3</v>
      </c>
      <c r="CY26" s="29">
        <f>VALUE(IF(OR(CJ26&gt;BU26*1.5,CK26&gt;BT26)=TRUE,"0",IF(LEN(BW26)=2,MID(BW26,1,1),MID(BW26,2,4))))</f>
        <v>7</v>
      </c>
      <c r="CZ26" s="29" t="str">
        <f>+IF(OR(CI26&gt;BS26,CJ26&gt;BU26,CK26&gt;BT26)=TRUE,"0",BX26)</f>
        <v>0</v>
      </c>
      <c r="DA26" s="50" t="str">
        <f>+IF(OR(CI26&gt;BS26,CJ26&gt;BU26,CK26&gt;BT26)=TRUE,"0",BY26)</f>
        <v>0</v>
      </c>
      <c r="DB26" s="49">
        <f>IF(MAX(CL26,CP26,CT26,CX26)=0,"NPD",MAX(CL26,CP26,CT26,CX26))</f>
        <v>3</v>
      </c>
      <c r="DC26" s="29" t="str">
        <f>IF(MAX(CM26,CQ26,CU26,CY26)&gt;10,"E"&amp;MAX(CM26,CQ26,CU26,CY26),IF(MAX(CM26,CQ26,CU26,CY26)=0,"NPD",MAX(CM26,CQ26,CU26,CY26)&amp;"A"))</f>
        <v>7A</v>
      </c>
      <c r="DD26" s="29" t="str">
        <f>+IF(OR(CN26="C",CR26="C",CV26="C",CZ26="C")=TRUE,"C",IF(OR(CN26="B",CR26="B",CV26="B",CZ26="B")=TRUE,"B",IF(OR(CN26="A",CR26="A",CV26="A",CZ26="A")=TRUE,"A","A")))</f>
        <v>A</v>
      </c>
      <c r="DE26" s="29" t="str">
        <f t="shared" si="61"/>
        <v>1</v>
      </c>
      <c r="DF26" s="29">
        <f>+IF(D$22&lt;CD26,"NPD",IF(D$22&lt;CF26,CC26-CH26,CE26-CH26))</f>
        <v>33</v>
      </c>
      <c r="DG26" s="47">
        <f>+AN26</f>
        <v>1.6895844465116281</v>
      </c>
    </row>
    <row r="27" spans="3:111" hidden="1">
      <c r="D27" s="99"/>
      <c r="G27" s="9"/>
      <c r="J27"/>
      <c r="K27"/>
      <c r="N27" s="117" t="s">
        <v>138</v>
      </c>
      <c r="O27" s="41">
        <f t="shared" si="18"/>
        <v>1</v>
      </c>
      <c r="P27" s="36">
        <f t="shared" si="62"/>
        <v>0</v>
      </c>
      <c r="Q27" s="36">
        <f t="shared" si="62"/>
        <v>0</v>
      </c>
      <c r="R27" s="37" t="s">
        <v>21</v>
      </c>
      <c r="S27" s="37" t="str">
        <f t="shared" si="1"/>
        <v>BE</v>
      </c>
      <c r="T27" s="37">
        <f t="shared" si="52"/>
        <v>1400</v>
      </c>
      <c r="U27" s="37">
        <f t="shared" si="53"/>
        <v>2150</v>
      </c>
      <c r="V27" s="97">
        <f t="shared" si="4"/>
        <v>3.01</v>
      </c>
      <c r="W27" s="118">
        <v>78</v>
      </c>
      <c r="X27" s="118">
        <v>32</v>
      </c>
      <c r="Y27" s="118">
        <v>32</v>
      </c>
      <c r="Z27" s="102">
        <f t="shared" si="19"/>
        <v>1.1000000000000001</v>
      </c>
      <c r="AA27" s="120">
        <v>3.7</v>
      </c>
      <c r="AB27" s="121">
        <v>4.0999999999999996</v>
      </c>
      <c r="AC27" s="122">
        <v>4.0999999999999996</v>
      </c>
      <c r="AD27" s="120">
        <v>3.3</v>
      </c>
      <c r="AE27" s="121">
        <v>3.5</v>
      </c>
      <c r="AF27" s="122">
        <v>3.5</v>
      </c>
      <c r="AG27" s="123">
        <f t="shared" si="20"/>
        <v>3.3</v>
      </c>
      <c r="AH27" s="118">
        <f t="shared" si="5"/>
        <v>3.5</v>
      </c>
      <c r="AI27" s="119">
        <f t="shared" si="6"/>
        <v>3.5</v>
      </c>
      <c r="AJ27" s="38">
        <f t="shared" si="7"/>
        <v>2.4805359999999999</v>
      </c>
      <c r="AK27" s="38">
        <f t="shared" si="58"/>
        <v>0.52946400000000005</v>
      </c>
      <c r="AL27" s="38">
        <f>+(U27-2*W27)/1000000*X27*P27</f>
        <v>0</v>
      </c>
      <c r="AM27" s="38">
        <f t="shared" si="59"/>
        <v>0</v>
      </c>
      <c r="AN27" s="38">
        <f t="shared" si="11"/>
        <v>1.4869836544850501</v>
      </c>
      <c r="AO27" s="39">
        <v>0.03</v>
      </c>
      <c r="AP27" s="92">
        <f t="shared" si="13"/>
        <v>6.4544850498338871E-2</v>
      </c>
      <c r="AQ27" s="94">
        <f t="shared" si="21"/>
        <v>1.4869836544850501</v>
      </c>
      <c r="AR27" s="1">
        <f t="shared" si="22"/>
        <v>3</v>
      </c>
      <c r="AT27" s="73"/>
      <c r="AU27" s="75"/>
      <c r="AV27" s="75"/>
      <c r="AW27" s="48">
        <f>+AT27*AU27/1000000</f>
        <v>0</v>
      </c>
      <c r="AX27" s="75"/>
      <c r="AY27" s="75"/>
      <c r="AZ27" s="75"/>
      <c r="BA27" s="76"/>
      <c r="BB27" s="73"/>
      <c r="BC27" s="75"/>
      <c r="BD27" s="75"/>
      <c r="BE27" s="48">
        <f t="shared" si="24"/>
        <v>0</v>
      </c>
      <c r="BF27" s="75"/>
      <c r="BG27" s="75"/>
      <c r="BH27" s="75"/>
      <c r="BI27" s="76"/>
      <c r="BJ27" s="73"/>
      <c r="BK27" s="75"/>
      <c r="BL27" s="75"/>
      <c r="BM27" s="48">
        <f t="shared" si="25"/>
        <v>0</v>
      </c>
      <c r="BN27" s="75"/>
      <c r="BO27" s="75"/>
      <c r="BP27" s="75"/>
      <c r="BQ27" s="76"/>
      <c r="BR27" s="73">
        <v>2900</v>
      </c>
      <c r="BS27" s="75">
        <v>2100</v>
      </c>
      <c r="BT27" s="75">
        <v>2</v>
      </c>
      <c r="BU27" s="48">
        <f t="shared" si="26"/>
        <v>6.09</v>
      </c>
      <c r="BV27" s="75">
        <v>3</v>
      </c>
      <c r="BW27" s="75" t="s">
        <v>82</v>
      </c>
      <c r="BX27" s="75" t="s">
        <v>81</v>
      </c>
      <c r="BY27" s="76">
        <v>1</v>
      </c>
      <c r="BZ27" s="49">
        <v>1400</v>
      </c>
      <c r="CA27" s="29">
        <v>1500</v>
      </c>
      <c r="CB27" s="29">
        <f>+BZ27*CA27/1000000</f>
        <v>2.1</v>
      </c>
      <c r="CC27" s="29">
        <v>31</v>
      </c>
      <c r="CD27" s="29">
        <v>29</v>
      </c>
      <c r="CE27" s="29">
        <v>33</v>
      </c>
      <c r="CF27" s="29">
        <v>33</v>
      </c>
      <c r="CG27" s="29">
        <f t="shared" si="14"/>
        <v>143.33333333333331</v>
      </c>
      <c r="CH27" s="50">
        <f t="shared" si="28"/>
        <v>0</v>
      </c>
      <c r="CI27" s="67">
        <f>+U27</f>
        <v>2150</v>
      </c>
      <c r="CJ27" s="69">
        <f>+V27</f>
        <v>3.01</v>
      </c>
      <c r="CK27" s="71">
        <f t="shared" si="29"/>
        <v>1</v>
      </c>
      <c r="CL27" s="49" t="str">
        <f>+IF(OR(CJ27&gt;AW27*1.5,CK27&gt;AV27)=TRUE,"0",AX27)</f>
        <v>0</v>
      </c>
      <c r="CM27" s="29">
        <f>VALUE(IF(OR(CJ27&gt;AW27*1.5,CK27&gt;AV27)=TRUE,"0",IF(LEN(AY27)=2,MID(AY27,1,1),MID(AY27,2,4))))</f>
        <v>0</v>
      </c>
      <c r="CN27" s="29" t="str">
        <f>+IF(OR(CI27&gt;AU27,CJ27&gt;AW27,CK27&gt;AV27)=TRUE,"0",AZ27)</f>
        <v>0</v>
      </c>
      <c r="CO27" s="50" t="str">
        <f>+IF(OR(CI27&gt;AU27,CJ27&gt;AW27,CK27&gt;AV27)=TRUE,"0",BA27)</f>
        <v>0</v>
      </c>
      <c r="CP27" s="195" t="str">
        <f>+IF(OR(CJ27&gt;BE27*1.5,CK27&gt;BD27)=TRUE,"0",BF27)</f>
        <v>0</v>
      </c>
      <c r="CQ27" s="29">
        <f>VALUE(IF(OR(CJ27&gt;BE27*1.5,CK27&gt;BD27)=TRUE,"0",IF(LEN(BG27)=2,MID(BG27,1,1),MID(BG27,2,4))))</f>
        <v>0</v>
      </c>
      <c r="CR27" s="29" t="str">
        <f>+IF(OR(CI27&gt;BC27,CJ27&gt;BE27,CK27&gt;BD27)=TRUE,"0",BH27)</f>
        <v>0</v>
      </c>
      <c r="CS27" s="194" t="str">
        <f>+IF(OR(CI27&gt;BC27,CJ27&gt;BE27,CK27&gt;BD27)=TRUE,"0",BI27)</f>
        <v>0</v>
      </c>
      <c r="CT27" s="49" t="str">
        <f>+IF(OR(CJ27&gt;BM27*1.5,CK27&gt;BL27)=TRUE,"0",BN27)</f>
        <v>0</v>
      </c>
      <c r="CU27" s="29">
        <f>VALUE(IF(OR(CJ27&gt;BM27*1.5,CK27&gt;BL27)=TRUE,"0",IF(LEN(BO27)=2,MID(BO27,1,1),MID(BO27,2,4))))</f>
        <v>0</v>
      </c>
      <c r="CV27" s="29" t="str">
        <f>+IF(OR(CI27&gt;BK27,CJ27&gt;BM27,CK27&gt;BL27)=TRUE,"0",BP27)</f>
        <v>0</v>
      </c>
      <c r="CW27" s="50" t="str">
        <f>+IF(OR(CI27&gt;BK27,CJ27&gt;BM27,CK27&gt;BL27)=TRUE,"0",BQ27)</f>
        <v>0</v>
      </c>
      <c r="CX27" s="49">
        <f>+IF(OR(CJ27&gt;BU27*1.5,CK27&gt;BT27)=TRUE,"0",BV27)</f>
        <v>3</v>
      </c>
      <c r="CY27" s="29">
        <f>VALUE(IF(OR(CJ27&gt;BU27*1.5,CK27&gt;BT27)=TRUE,"0",IF(LEN(BW27)=2,MID(BW27,1,1),MID(BW27,2,4))))</f>
        <v>7</v>
      </c>
      <c r="CZ27" s="29" t="str">
        <f>+IF(OR(CI27&gt;BS27,CJ27&gt;BU27,CK27&gt;BT27)=TRUE,"0",BX27)</f>
        <v>0</v>
      </c>
      <c r="DA27" s="50" t="str">
        <f>+IF(OR(CI27&gt;BS27,CJ27&gt;BU27,CK27&gt;BT27)=TRUE,"0",BY27)</f>
        <v>0</v>
      </c>
      <c r="DB27" s="49">
        <f>IF(MAX(CL27,CP27,CT27,CX27)=0,"NPD",MAX(CL27,CP27,CT27,CX27))</f>
        <v>3</v>
      </c>
      <c r="DC27" s="29" t="str">
        <f>IF(MAX(CM27,CQ27,CU27,CY27)&gt;10,"E"&amp;MAX(CM27,CQ27,CU27,CY27),IF(MAX(CM27,CQ27,CU27,CY27)=0,"NPD",MAX(CM27,CQ27,CU27,CY27)&amp;"A"))</f>
        <v>7A</v>
      </c>
      <c r="DD27" s="29" t="str">
        <f t="shared" si="60"/>
        <v>A</v>
      </c>
      <c r="DE27" s="29" t="str">
        <f t="shared" si="61"/>
        <v>1</v>
      </c>
      <c r="DF27" s="29">
        <f t="shared" si="17"/>
        <v>33</v>
      </c>
      <c r="DG27" s="47">
        <f>+AN27</f>
        <v>1.4869836544850501</v>
      </c>
    </row>
    <row r="28" spans="3:111" ht="15" hidden="1" thickBot="1">
      <c r="G28" s="9"/>
      <c r="J28"/>
      <c r="K28"/>
      <c r="N28" s="27" t="s">
        <v>139</v>
      </c>
      <c r="O28" s="42">
        <f t="shared" si="18"/>
        <v>1</v>
      </c>
      <c r="P28" s="43">
        <f t="shared" si="62"/>
        <v>0</v>
      </c>
      <c r="Q28" s="43">
        <f t="shared" si="62"/>
        <v>0</v>
      </c>
      <c r="R28" s="44" t="s">
        <v>21</v>
      </c>
      <c r="S28" s="44" t="str">
        <f t="shared" si="1"/>
        <v>BE</v>
      </c>
      <c r="T28" s="44">
        <f t="shared" si="52"/>
        <v>1400</v>
      </c>
      <c r="U28" s="44">
        <f t="shared" si="53"/>
        <v>2150</v>
      </c>
      <c r="V28" s="98">
        <f t="shared" si="4"/>
        <v>3.01</v>
      </c>
      <c r="W28" s="44">
        <v>140</v>
      </c>
      <c r="X28" s="44">
        <v>110</v>
      </c>
      <c r="Y28" s="44"/>
      <c r="Z28" s="103">
        <f t="shared" si="19"/>
        <v>1.1000000000000001</v>
      </c>
      <c r="AA28" s="115">
        <v>3.9</v>
      </c>
      <c r="AB28" s="57">
        <v>3.9</v>
      </c>
      <c r="AC28" s="116"/>
      <c r="AD28" s="115">
        <v>3.9</v>
      </c>
      <c r="AE28" s="57">
        <v>3.9</v>
      </c>
      <c r="AF28" s="116"/>
      <c r="AG28" s="106">
        <f t="shared" si="20"/>
        <v>3.9</v>
      </c>
      <c r="AH28" s="44">
        <f t="shared" si="5"/>
        <v>3.9</v>
      </c>
      <c r="AI28" s="103">
        <f t="shared" si="6"/>
        <v>0</v>
      </c>
      <c r="AJ28" s="45">
        <f t="shared" si="7"/>
        <v>2.0943999999999998</v>
      </c>
      <c r="AK28" s="45">
        <f t="shared" si="8"/>
        <v>0.91559999999999997</v>
      </c>
      <c r="AL28" s="45">
        <f>+(U28-2*W28)/1000000*X28*P28</f>
        <v>0</v>
      </c>
      <c r="AM28" s="45">
        <f t="shared" si="10"/>
        <v>0</v>
      </c>
      <c r="AN28" s="45">
        <f t="shared" si="11"/>
        <v>1.9517209302325582</v>
      </c>
      <c r="AO28" s="46">
        <v>3.1E-2</v>
      </c>
      <c r="AP28" s="93">
        <f t="shared" si="13"/>
        <v>6.1588039867109645E-2</v>
      </c>
      <c r="AQ28" s="100">
        <f t="shared" si="21"/>
        <v>1.9517209302325582</v>
      </c>
      <c r="AR28" s="1">
        <f t="shared" si="22"/>
        <v>4</v>
      </c>
      <c r="AT28" s="51"/>
      <c r="AU28" s="52"/>
      <c r="AV28" s="52"/>
      <c r="AW28" s="54">
        <f t="shared" si="23"/>
        <v>0</v>
      </c>
      <c r="AX28" s="52"/>
      <c r="AY28" s="52"/>
      <c r="AZ28" s="52"/>
      <c r="BA28" s="53"/>
      <c r="BB28" s="51"/>
      <c r="BC28" s="52"/>
      <c r="BD28" s="52"/>
      <c r="BE28" s="54">
        <f t="shared" si="24"/>
        <v>0</v>
      </c>
      <c r="BF28" s="52"/>
      <c r="BG28" s="52"/>
      <c r="BH28" s="52"/>
      <c r="BI28" s="53"/>
      <c r="BJ28" s="51"/>
      <c r="BK28" s="52"/>
      <c r="BL28" s="52"/>
      <c r="BM28" s="54">
        <f t="shared" si="25"/>
        <v>0</v>
      </c>
      <c r="BN28" s="52"/>
      <c r="BO28" s="52"/>
      <c r="BP28" s="52"/>
      <c r="BQ28" s="53"/>
      <c r="BR28" s="51">
        <v>2960</v>
      </c>
      <c r="BS28" s="52">
        <v>2350</v>
      </c>
      <c r="BT28" s="52">
        <v>2</v>
      </c>
      <c r="BU28" s="54">
        <f t="shared" si="26"/>
        <v>6.9560000000000004</v>
      </c>
      <c r="BV28" s="52">
        <v>4</v>
      </c>
      <c r="BW28" s="52" t="s">
        <v>82</v>
      </c>
      <c r="BX28" s="52" t="s">
        <v>81</v>
      </c>
      <c r="BY28" s="53">
        <v>1</v>
      </c>
      <c r="BZ28" s="51">
        <v>2000</v>
      </c>
      <c r="CA28" s="52">
        <v>1500</v>
      </c>
      <c r="CB28" s="52">
        <f t="shared" si="27"/>
        <v>3</v>
      </c>
      <c r="CC28" s="52">
        <v>32</v>
      </c>
      <c r="CD28" s="52">
        <v>29</v>
      </c>
      <c r="CE28" s="52">
        <v>33</v>
      </c>
      <c r="CF28" s="52">
        <v>33</v>
      </c>
      <c r="CG28" s="52">
        <f t="shared" si="14"/>
        <v>100.33333333333331</v>
      </c>
      <c r="CH28" s="53">
        <f t="shared" si="28"/>
        <v>0</v>
      </c>
      <c r="CI28" s="68">
        <f t="shared" si="15"/>
        <v>2150</v>
      </c>
      <c r="CJ28" s="70">
        <f t="shared" si="16"/>
        <v>3.01</v>
      </c>
      <c r="CK28" s="72">
        <f t="shared" si="29"/>
        <v>1</v>
      </c>
      <c r="CL28" s="51" t="str">
        <f t="shared" si="30"/>
        <v>0</v>
      </c>
      <c r="CM28" s="52">
        <f t="shared" si="31"/>
        <v>0</v>
      </c>
      <c r="CN28" s="52" t="str">
        <f t="shared" si="32"/>
        <v>0</v>
      </c>
      <c r="CO28" s="53" t="str">
        <f t="shared" si="33"/>
        <v>0</v>
      </c>
      <c r="CP28" s="64" t="str">
        <f t="shared" si="34"/>
        <v>0</v>
      </c>
      <c r="CQ28" s="52">
        <f t="shared" si="35"/>
        <v>0</v>
      </c>
      <c r="CR28" s="52" t="str">
        <f t="shared" si="36"/>
        <v>0</v>
      </c>
      <c r="CS28" s="63" t="str">
        <f t="shared" si="37"/>
        <v>0</v>
      </c>
      <c r="CT28" s="51" t="str">
        <f t="shared" si="38"/>
        <v>0</v>
      </c>
      <c r="CU28" s="52">
        <f t="shared" si="39"/>
        <v>0</v>
      </c>
      <c r="CV28" s="52" t="str">
        <f t="shared" si="40"/>
        <v>0</v>
      </c>
      <c r="CW28" s="53" t="str">
        <f t="shared" si="41"/>
        <v>0</v>
      </c>
      <c r="CX28" s="51">
        <f t="shared" si="42"/>
        <v>4</v>
      </c>
      <c r="CY28" s="52">
        <f t="shared" si="43"/>
        <v>7</v>
      </c>
      <c r="CZ28" s="52" t="str">
        <f t="shared" si="44"/>
        <v>C</v>
      </c>
      <c r="DA28" s="53">
        <f t="shared" si="45"/>
        <v>1</v>
      </c>
      <c r="DB28" s="51">
        <f t="shared" si="46"/>
        <v>4</v>
      </c>
      <c r="DC28" s="52" t="str">
        <f t="shared" si="47"/>
        <v>7A</v>
      </c>
      <c r="DD28" s="52" t="str">
        <f t="shared" si="60"/>
        <v>C</v>
      </c>
      <c r="DE28" s="52">
        <f t="shared" si="61"/>
        <v>1</v>
      </c>
      <c r="DF28" s="52">
        <f t="shared" si="17"/>
        <v>33</v>
      </c>
      <c r="DG28" s="58">
        <f t="shared" si="50"/>
        <v>1.9517209302325582</v>
      </c>
    </row>
    <row r="29" spans="3:111" ht="15" thickBot="1">
      <c r="H29"/>
      <c r="I29" s="19"/>
      <c r="J29"/>
      <c r="K29"/>
    </row>
    <row r="30" spans="3:111" ht="15.75" thickBot="1">
      <c r="C30" s="4"/>
      <c r="AA30" s="203" t="s">
        <v>27</v>
      </c>
      <c r="AB30" s="205"/>
      <c r="AC30" s="206"/>
      <c r="AD30" s="205" t="s">
        <v>28</v>
      </c>
      <c r="AE30" s="205"/>
      <c r="AF30" s="204"/>
      <c r="AT30" s="220" t="s">
        <v>30</v>
      </c>
      <c r="AU30" s="221"/>
      <c r="AV30" s="221"/>
      <c r="AW30" s="221"/>
      <c r="AX30" s="221"/>
      <c r="AY30" s="221"/>
      <c r="AZ30" s="221"/>
      <c r="BA30" s="222"/>
      <c r="BB30" s="220" t="s">
        <v>31</v>
      </c>
      <c r="BC30" s="221"/>
      <c r="BD30" s="221"/>
      <c r="BE30" s="221"/>
      <c r="BF30" s="221"/>
      <c r="BG30" s="221"/>
      <c r="BH30" s="221"/>
      <c r="BI30" s="222"/>
      <c r="BJ30" s="220" t="s">
        <v>32</v>
      </c>
      <c r="BK30" s="221"/>
      <c r="BL30" s="221"/>
      <c r="BM30" s="221"/>
      <c r="BN30" s="221"/>
      <c r="BO30" s="221"/>
      <c r="BP30" s="221"/>
      <c r="BQ30" s="222"/>
      <c r="BR30" s="220" t="s">
        <v>33</v>
      </c>
      <c r="BS30" s="221"/>
      <c r="BT30" s="221"/>
      <c r="BU30" s="221"/>
      <c r="BV30" s="221"/>
      <c r="BW30" s="221"/>
      <c r="BX30" s="221"/>
      <c r="BY30" s="222"/>
      <c r="BZ30" s="225" t="s">
        <v>34</v>
      </c>
      <c r="CA30" s="226"/>
      <c r="CB30" s="226"/>
      <c r="CC30" s="226"/>
      <c r="CD30" s="226"/>
      <c r="CE30" s="226"/>
      <c r="CF30" s="226"/>
      <c r="CG30" s="226"/>
      <c r="CH30" s="227"/>
      <c r="CI30" s="65"/>
      <c r="CJ30" s="65"/>
      <c r="CK30" s="65"/>
      <c r="CL30" s="220">
        <v>1</v>
      </c>
      <c r="CM30" s="221"/>
      <c r="CN30" s="221"/>
      <c r="CO30" s="222"/>
      <c r="CP30" s="228">
        <v>2</v>
      </c>
      <c r="CQ30" s="226"/>
      <c r="CR30" s="226"/>
      <c r="CS30" s="229"/>
      <c r="CT30" s="220">
        <v>3</v>
      </c>
      <c r="CU30" s="221"/>
      <c r="CV30" s="221"/>
      <c r="CW30" s="222"/>
      <c r="CX30" s="220">
        <v>4</v>
      </c>
      <c r="CY30" s="221"/>
      <c r="CZ30" s="221"/>
      <c r="DA30" s="222"/>
      <c r="DB30" s="220" t="s">
        <v>35</v>
      </c>
      <c r="DC30" s="221"/>
      <c r="DD30" s="221"/>
      <c r="DE30" s="221"/>
      <c r="DF30" s="221"/>
      <c r="DG30" s="222"/>
    </row>
    <row r="31" spans="3:111" ht="15" customHeight="1" thickBot="1">
      <c r="C31" s="203" t="s">
        <v>140</v>
      </c>
      <c r="D31" s="204"/>
      <c r="L31" s="3"/>
      <c r="N31" s="2"/>
      <c r="O31" s="28" t="s">
        <v>38</v>
      </c>
      <c r="P31" s="198" t="s">
        <v>39</v>
      </c>
      <c r="Q31" s="198" t="s">
        <v>40</v>
      </c>
      <c r="R31" s="198" t="s">
        <v>41</v>
      </c>
      <c r="S31" s="30" t="s">
        <v>42</v>
      </c>
      <c r="T31" s="199" t="s">
        <v>43</v>
      </c>
      <c r="U31" s="30" t="s">
        <v>44</v>
      </c>
      <c r="V31" s="30" t="s">
        <v>45</v>
      </c>
      <c r="W31" s="30" t="s">
        <v>46</v>
      </c>
      <c r="X31" s="30" t="s">
        <v>47</v>
      </c>
      <c r="Y31" s="31" t="s">
        <v>48</v>
      </c>
      <c r="Z31" s="31" t="s">
        <v>49</v>
      </c>
      <c r="AA31" s="28" t="s">
        <v>50</v>
      </c>
      <c r="AB31" s="30" t="s">
        <v>51</v>
      </c>
      <c r="AC31" s="107" t="s">
        <v>52</v>
      </c>
      <c r="AD31" s="28" t="s">
        <v>50</v>
      </c>
      <c r="AE31" s="30" t="s">
        <v>51</v>
      </c>
      <c r="AF31" s="107" t="s">
        <v>52</v>
      </c>
      <c r="AG31" s="199" t="s">
        <v>50</v>
      </c>
      <c r="AH31" s="30" t="s">
        <v>51</v>
      </c>
      <c r="AI31" s="30" t="s">
        <v>52</v>
      </c>
      <c r="AJ31" s="30" t="s">
        <v>53</v>
      </c>
      <c r="AK31" s="30" t="s">
        <v>54</v>
      </c>
      <c r="AL31" s="30" t="s">
        <v>55</v>
      </c>
      <c r="AM31" s="30" t="s">
        <v>56</v>
      </c>
      <c r="AN31" s="30" t="s">
        <v>57</v>
      </c>
      <c r="AO31" s="199" t="s">
        <v>58</v>
      </c>
      <c r="AP31" s="31" t="s">
        <v>58</v>
      </c>
      <c r="AQ31" s="32" t="s">
        <v>57</v>
      </c>
      <c r="AR31" s="1" t="s">
        <v>59</v>
      </c>
      <c r="AT31" s="49" t="s">
        <v>43</v>
      </c>
      <c r="AU31" s="29" t="s">
        <v>44</v>
      </c>
      <c r="AV31" s="29" t="s">
        <v>60</v>
      </c>
      <c r="AW31" s="29" t="s">
        <v>61</v>
      </c>
      <c r="AX31" s="29" t="s">
        <v>62</v>
      </c>
      <c r="AY31" s="29" t="s">
        <v>63</v>
      </c>
      <c r="AZ31" s="223" t="s">
        <v>64</v>
      </c>
      <c r="BA31" s="230"/>
      <c r="BB31" s="49" t="s">
        <v>43</v>
      </c>
      <c r="BC31" s="29" t="s">
        <v>44</v>
      </c>
      <c r="BD31" s="29" t="s">
        <v>60</v>
      </c>
      <c r="BE31" s="29"/>
      <c r="BF31" s="29" t="s">
        <v>62</v>
      </c>
      <c r="BG31" s="29" t="s">
        <v>63</v>
      </c>
      <c r="BH31" s="223" t="s">
        <v>64</v>
      </c>
      <c r="BI31" s="230"/>
      <c r="BJ31" s="49" t="s">
        <v>43</v>
      </c>
      <c r="BK31" s="29" t="s">
        <v>44</v>
      </c>
      <c r="BL31" s="29" t="s">
        <v>60</v>
      </c>
      <c r="BM31" s="29" t="s">
        <v>61</v>
      </c>
      <c r="BN31" s="29" t="s">
        <v>62</v>
      </c>
      <c r="BO31" s="29" t="s">
        <v>63</v>
      </c>
      <c r="BP31" s="223" t="s">
        <v>64</v>
      </c>
      <c r="BQ31" s="230"/>
      <c r="BR31" s="49" t="s">
        <v>43</v>
      </c>
      <c r="BS31" s="29" t="s">
        <v>44</v>
      </c>
      <c r="BT31" s="29" t="s">
        <v>60</v>
      </c>
      <c r="BU31" s="29" t="s">
        <v>61</v>
      </c>
      <c r="BV31" s="29" t="s">
        <v>62</v>
      </c>
      <c r="BW31" s="29" t="s">
        <v>63</v>
      </c>
      <c r="BX31" s="223" t="s">
        <v>64</v>
      </c>
      <c r="BY31" s="230"/>
      <c r="BZ31" s="49" t="s">
        <v>43</v>
      </c>
      <c r="CA31" s="29" t="s">
        <v>44</v>
      </c>
      <c r="CB31" s="29" t="s">
        <v>61</v>
      </c>
      <c r="CC31" s="29" t="s">
        <v>65</v>
      </c>
      <c r="CD31" s="29" t="s">
        <v>66</v>
      </c>
      <c r="CE31" s="29" t="s">
        <v>67</v>
      </c>
      <c r="CF31" s="29" t="s">
        <v>68</v>
      </c>
      <c r="CG31" s="29" t="s">
        <v>69</v>
      </c>
      <c r="CH31" s="50"/>
      <c r="CI31" s="66" t="s">
        <v>44</v>
      </c>
      <c r="CJ31" s="66" t="s">
        <v>70</v>
      </c>
      <c r="CK31" s="66" t="s">
        <v>60</v>
      </c>
      <c r="CL31" s="73" t="s">
        <v>71</v>
      </c>
      <c r="CM31" s="74" t="s">
        <v>72</v>
      </c>
      <c r="CN31" s="75" t="s">
        <v>73</v>
      </c>
      <c r="CO31" s="76" t="s">
        <v>73</v>
      </c>
      <c r="CP31" s="74" t="s">
        <v>70</v>
      </c>
      <c r="CQ31" s="75" t="s">
        <v>70</v>
      </c>
      <c r="CR31" s="75" t="s">
        <v>73</v>
      </c>
      <c r="CS31" s="77" t="s">
        <v>73</v>
      </c>
      <c r="CT31" s="73" t="s">
        <v>70</v>
      </c>
      <c r="CU31" s="75" t="s">
        <v>70</v>
      </c>
      <c r="CV31" s="75" t="s">
        <v>73</v>
      </c>
      <c r="CW31" s="76" t="s">
        <v>73</v>
      </c>
      <c r="CX31" s="73" t="s">
        <v>70</v>
      </c>
      <c r="CY31" s="75" t="s">
        <v>70</v>
      </c>
      <c r="CZ31" s="77" t="s">
        <v>73</v>
      </c>
      <c r="DA31" s="76" t="s">
        <v>73</v>
      </c>
      <c r="DB31" s="49" t="s">
        <v>62</v>
      </c>
      <c r="DC31" s="29" t="s">
        <v>63</v>
      </c>
      <c r="DD31" s="223" t="s">
        <v>64</v>
      </c>
      <c r="DE31" s="224"/>
      <c r="DF31" s="29" t="s">
        <v>34</v>
      </c>
      <c r="DG31" s="50" t="s">
        <v>74</v>
      </c>
    </row>
    <row r="32" spans="3:111" ht="15" customHeight="1">
      <c r="C32" s="14" t="s">
        <v>75</v>
      </c>
      <c r="D32" s="22" t="s">
        <v>102</v>
      </c>
      <c r="F32" s="211" t="s">
        <v>77</v>
      </c>
      <c r="G32" s="212"/>
      <c r="H32" s="212"/>
      <c r="I32" s="213"/>
      <c r="L32" s="3"/>
      <c r="N32" s="25" t="s">
        <v>79</v>
      </c>
      <c r="O32" s="40">
        <f>+$D$34</f>
        <v>1</v>
      </c>
      <c r="P32" s="33">
        <f>+H$43</f>
        <v>0</v>
      </c>
      <c r="Q32" s="33">
        <f>+I$43</f>
        <v>0</v>
      </c>
      <c r="R32" s="34" t="s">
        <v>23</v>
      </c>
      <c r="S32" s="33" t="str">
        <f>+IF(I$33="N","N","BE")</f>
        <v>BE</v>
      </c>
      <c r="T32" s="33">
        <f>+$D$37</f>
        <v>300</v>
      </c>
      <c r="U32" s="33">
        <f>+$D$38</f>
        <v>300</v>
      </c>
      <c r="V32" s="96">
        <f>+T32*U32/1000000</f>
        <v>0.09</v>
      </c>
      <c r="W32" s="34">
        <v>92.2</v>
      </c>
      <c r="X32" s="34">
        <v>149.4</v>
      </c>
      <c r="Y32" s="34">
        <v>149.4</v>
      </c>
      <c r="Z32" s="101">
        <f>+$D$45</f>
        <v>1.3</v>
      </c>
      <c r="AA32" s="108">
        <v>6.1</v>
      </c>
      <c r="AB32" s="55">
        <v>6.1</v>
      </c>
      <c r="AC32" s="109">
        <v>6.1</v>
      </c>
      <c r="AD32" s="108">
        <v>6.1</v>
      </c>
      <c r="AE32" s="55">
        <v>6.1</v>
      </c>
      <c r="AF32" s="109">
        <v>6.1</v>
      </c>
      <c r="AG32" s="104">
        <f t="shared" ref="AG32:AI38" si="63">+IF($D$12="SI",AD32,AA32)</f>
        <v>6.1</v>
      </c>
      <c r="AH32" s="34">
        <f t="shared" si="63"/>
        <v>6.1</v>
      </c>
      <c r="AI32" s="101">
        <f t="shared" si="63"/>
        <v>6.1</v>
      </c>
      <c r="AJ32" s="35">
        <f t="shared" ref="AJ32:AJ41" si="64">+(T32*U32)/1000000-AK32-AL32-AM32</f>
        <v>1.3363359999999991E-2</v>
      </c>
      <c r="AK32" s="35">
        <f t="shared" ref="AK32:AK53" si="65">+(T32*U32-(T32-2*W32)*(U32-2*W32))/1000000</f>
        <v>7.6636640000000006E-2</v>
      </c>
      <c r="AL32" s="35">
        <f t="shared" ref="AL32:AL53" si="66">+(U32-2*W32)/1000000*X32*P32</f>
        <v>0</v>
      </c>
      <c r="AM32" s="35">
        <f t="shared" ref="AM32:AM53" si="67">+(U32-2*W32)/1000000*Y32*Q32</f>
        <v>0</v>
      </c>
      <c r="AN32" s="35">
        <f t="shared" ref="AN32:AN41" si="68">+(Z32*AJ32+AG32*AK32+AL32*AH32+AI32*AM32)/(AJ32+AK32+AL32+AM32)</f>
        <v>5.3872874666666668</v>
      </c>
      <c r="AO32" s="140">
        <f>+IF(R32="NO",0,IF(S32="BE",0.08,0.06))</f>
        <v>0</v>
      </c>
      <c r="AP32" s="91">
        <f t="shared" ref="AP32:AP41" si="69">+AO32*((T32-2*W32-P32*X32-Q32*Y32)/1000*2+(U32-2*W32)/1000*2*(P32+Q32+1))/(AJ32+AK32+AL32+AM32)</f>
        <v>0</v>
      </c>
      <c r="AQ32" s="94">
        <f>+AN32</f>
        <v>5.3872874666666668</v>
      </c>
      <c r="AR32" s="1">
        <f>+DB32</f>
        <v>4</v>
      </c>
      <c r="AT32" s="49"/>
      <c r="AU32" s="29"/>
      <c r="AV32" s="29"/>
      <c r="AW32" s="48">
        <f t="shared" ref="AW32:AW38" si="70">+AT32*AU32/1000000</f>
        <v>0</v>
      </c>
      <c r="AX32" s="29"/>
      <c r="AY32" s="29"/>
      <c r="AZ32" s="29"/>
      <c r="BA32" s="50"/>
      <c r="BB32" s="49"/>
      <c r="BC32" s="29"/>
      <c r="BD32" s="29"/>
      <c r="BE32" s="48">
        <f t="shared" ref="BE32:BE38" si="71">+BB32*BC32/1000000</f>
        <v>0</v>
      </c>
      <c r="BF32" s="29"/>
      <c r="BG32" s="29"/>
      <c r="BH32" s="29"/>
      <c r="BI32" s="50"/>
      <c r="BJ32" s="49">
        <v>1400</v>
      </c>
      <c r="BK32" s="29">
        <v>1500</v>
      </c>
      <c r="BL32" s="29">
        <v>2</v>
      </c>
      <c r="BM32" s="48">
        <f t="shared" ref="BM32:BM39" si="72">+BJ32*BK32/1000000</f>
        <v>2.1</v>
      </c>
      <c r="BN32" s="29">
        <v>4</v>
      </c>
      <c r="BO32" s="29" t="s">
        <v>80</v>
      </c>
      <c r="BP32" s="29" t="s">
        <v>81</v>
      </c>
      <c r="BQ32" s="50">
        <v>4</v>
      </c>
      <c r="BR32" s="49">
        <v>1600</v>
      </c>
      <c r="BS32" s="29">
        <v>2100</v>
      </c>
      <c r="BT32" s="29">
        <v>2</v>
      </c>
      <c r="BU32" s="48">
        <f t="shared" ref="BU32:BU46" si="73">+BR32*BS32/1000000</f>
        <v>3.36</v>
      </c>
      <c r="BV32" s="29">
        <v>4</v>
      </c>
      <c r="BW32" s="29" t="s">
        <v>82</v>
      </c>
      <c r="BX32" s="29" t="s">
        <v>81</v>
      </c>
      <c r="BY32" s="50">
        <v>2</v>
      </c>
      <c r="BZ32" s="49">
        <v>1400</v>
      </c>
      <c r="CA32" s="29">
        <v>1500</v>
      </c>
      <c r="CB32" s="29">
        <f t="shared" ref="CB32:CB46" si="74">+BZ32*CA32/1000000</f>
        <v>2.1</v>
      </c>
      <c r="CC32" s="29">
        <v>31</v>
      </c>
      <c r="CD32" s="29">
        <v>29</v>
      </c>
      <c r="CE32" s="29">
        <v>34</v>
      </c>
      <c r="CF32" s="29">
        <v>33</v>
      </c>
      <c r="CG32" s="29">
        <f t="shared" ref="CG32:CG46" si="75">+V32/CB32*100</f>
        <v>4.2857142857142847</v>
      </c>
      <c r="CH32" s="50">
        <f t="shared" ref="CH32:CH46" si="76">+IF(CG32&lt;150,0,IF(CG32&lt;200,1,IF(CG32&lt;250,2,3)))</f>
        <v>0</v>
      </c>
      <c r="CI32" s="67">
        <f t="shared" ref="CI32:CI41" si="77">+U32</f>
        <v>300</v>
      </c>
      <c r="CJ32" s="69">
        <f t="shared" ref="CJ32:CJ41" si="78">+V32</f>
        <v>0.09</v>
      </c>
      <c r="CK32" s="71">
        <f>+$J$19</f>
        <v>1</v>
      </c>
      <c r="CL32" s="49" t="str">
        <f t="shared" ref="CL32:CL46" si="79">+IF(OR(CJ32&gt;AW32*1.5,CK32&gt;AV32)=TRUE,"0",AX32)</f>
        <v>0</v>
      </c>
      <c r="CM32" s="29">
        <f t="shared" ref="CM32:CM46" si="80">VALUE(IF(OR(CJ32&gt;AW32*1.5,CK32&gt;AV32)=TRUE,"0",IF(LEN(AY32)=2,MID(AY32,1,1),MID(AY32,2,4))))</f>
        <v>0</v>
      </c>
      <c r="CN32" s="29" t="str">
        <f t="shared" ref="CN32:CN46" si="81">+IF(OR(CI32&gt;AU32,CJ32&gt;AW32,CK32&gt;AV32)=TRUE,"0",AZ32)</f>
        <v>0</v>
      </c>
      <c r="CO32" s="50" t="str">
        <f t="shared" ref="CO32:CO46" si="82">+IF(OR(CI32&gt;AU32,CJ32&gt;AW32,CK32&gt;AV32)=TRUE,"0",BA32)</f>
        <v>0</v>
      </c>
      <c r="CP32" s="195" t="str">
        <f t="shared" ref="CP32:CP46" si="83">+IF(OR(CJ32&gt;BE32*1.5,CK32&gt;BD32)=TRUE,"0",BF32)</f>
        <v>0</v>
      </c>
      <c r="CQ32" s="29">
        <f t="shared" ref="CQ32:CQ46" si="84">VALUE(IF(OR(CJ32&gt;BE32*1.5,CK32&gt;BD32)=TRUE,"0",IF(LEN(BG32)=2,MID(BG32,1,1),MID(BG32,2,4))))</f>
        <v>0</v>
      </c>
      <c r="CR32" s="29" t="str">
        <f t="shared" ref="CR32:CR46" si="85">+IF(OR(CI32&gt;BC32,CJ32&gt;BE32,CK32&gt;BD32)=TRUE,"0",BH32)</f>
        <v>0</v>
      </c>
      <c r="CS32" s="194" t="str">
        <f t="shared" ref="CS32:CS46" si="86">+IF(OR(CI32&gt;BC32,CJ32&gt;BE32,CK32&gt;BD32)=TRUE,"0",BI32)</f>
        <v>0</v>
      </c>
      <c r="CT32" s="49">
        <f t="shared" ref="CT32:CT46" si="87">+IF(OR(CJ32&gt;BM32*1.5,CK32&gt;BL32)=TRUE,"0",BN32)</f>
        <v>4</v>
      </c>
      <c r="CU32" s="29">
        <f t="shared" ref="CU32:CU46" si="88">VALUE(IF(OR(CJ32&gt;BM32*1.5,CK32&gt;BL32)=TRUE,"0",IF(LEN(BO32)=2,MID(BO32,1,1),MID(BO32,2,4))))</f>
        <v>1350</v>
      </c>
      <c r="CV32" s="29" t="str">
        <f t="shared" ref="CV32:CV46" si="89">+IF(OR(CI32&gt;BK32,CJ32&gt;BM32,CK32&gt;BL32)=TRUE,"0",BP32)</f>
        <v>C</v>
      </c>
      <c r="CW32" s="50">
        <f t="shared" ref="CW32:CW46" si="90">+IF(OR(CI32&gt;BK32,CJ32&gt;BM32,CK32&gt;BL32)=TRUE,"0",BQ32)</f>
        <v>4</v>
      </c>
      <c r="CX32" s="49">
        <f t="shared" ref="CX32:CX46" si="91">+IF(OR(CJ32&gt;BU32*1.5,CK32&gt;BT32)=TRUE,"0",BV32)</f>
        <v>4</v>
      </c>
      <c r="CY32" s="29">
        <f t="shared" ref="CY32:CY46" si="92">VALUE(IF(OR(CJ32&gt;BU32*1.5,CK32&gt;BT32)=TRUE,"0",IF(LEN(BW32)=2,MID(BW32,1,1),MID(BW32,2,4))))</f>
        <v>7</v>
      </c>
      <c r="CZ32" s="29" t="str">
        <f t="shared" ref="CZ32:CZ46" si="93">+IF(OR(CI32&gt;BS32,CJ32&gt;BU32,CK32&gt;BT32)=TRUE,"0",BX32)</f>
        <v>C</v>
      </c>
      <c r="DA32" s="50">
        <f t="shared" ref="DA32:DA46" si="94">+IF(OR(CI32&gt;BS32,CJ32&gt;BU32,CK32&gt;BT32)=TRUE,"0",BY32)</f>
        <v>2</v>
      </c>
      <c r="DB32" s="49">
        <f t="shared" ref="DB32:DB39" si="95">IF(MAX(CL32,CP32,CT32,CX32)=0,"NPD",MAX(CL32,CP32,CT32,CX32))</f>
        <v>4</v>
      </c>
      <c r="DC32" s="29" t="str">
        <f t="shared" ref="DC32:DC39" si="96">IF(MAX(CM32,CQ32,CU32,CY32)&gt;10,"E"&amp;MAX(CM32,CQ32,CU32,CY32),IF(MAX(CM32,CQ32,CU32,CY32)=0,"NPD",MAX(CM32,CQ32,CU32,CY32)&amp;"A"))</f>
        <v>E1350</v>
      </c>
      <c r="DD32" s="29" t="str">
        <f t="shared" ref="DD32:DD39" si="97">+IF(OR(CN32="C",CR32="C",CV32="C",CZ32="C")=TRUE,"C",IF(OR(CN32="B",CR32="B",CV32="B",CZ32="B")=TRUE,"B",IF(OR(CN32="A",CR32="A",CV32="A",CZ32="A")=TRUE,"A","B")))</f>
        <v>C</v>
      </c>
      <c r="DE32" s="29">
        <f t="shared" ref="DE32:DE53" si="98">IF(MAX(CO32,CS32,CW32,DA32)=0,"1",MAX(CO32,CS32,CW32,DA32))</f>
        <v>4</v>
      </c>
      <c r="DF32" s="29">
        <f t="shared" ref="DF32:DF46" si="99">+IF(D$22&lt;CD32,"NPD",IF(D$22&lt;CF32,CC32-CH32,CE32-CH32))</f>
        <v>34</v>
      </c>
      <c r="DG32" s="47">
        <f t="shared" ref="DG32:DG46" si="100">+AN32</f>
        <v>5.3872874666666668</v>
      </c>
    </row>
    <row r="33" spans="3:111" ht="15" customHeight="1" thickBot="1">
      <c r="C33" s="15" t="s">
        <v>83</v>
      </c>
      <c r="D33" s="11" t="s">
        <v>84</v>
      </c>
      <c r="F33" s="231" t="s">
        <v>85</v>
      </c>
      <c r="G33" s="216"/>
      <c r="H33" s="216"/>
      <c r="I33" s="217"/>
      <c r="L33" s="3"/>
      <c r="N33" s="26" t="s">
        <v>87</v>
      </c>
      <c r="O33" s="41">
        <f t="shared" ref="O33:O53" si="101">+$D$34</f>
        <v>1</v>
      </c>
      <c r="P33" s="36">
        <f t="shared" ref="P33:P53" si="102">+H$43</f>
        <v>0</v>
      </c>
      <c r="Q33" s="36">
        <f t="shared" ref="Q33:Q53" si="103">+I$43</f>
        <v>0</v>
      </c>
      <c r="R33" s="37" t="s">
        <v>23</v>
      </c>
      <c r="S33" s="37" t="str">
        <f t="shared" ref="S33:S41" si="104">+IF(I$9="N","N","BE")</f>
        <v>BE</v>
      </c>
      <c r="T33" s="37">
        <f t="shared" ref="T33:T53" si="105">+$D$37</f>
        <v>300</v>
      </c>
      <c r="U33" s="37">
        <f t="shared" ref="U33:U53" si="106">+$D$38</f>
        <v>300</v>
      </c>
      <c r="V33" s="97">
        <f t="shared" ref="V33:V53" si="107">+T33*U33/1000000</f>
        <v>0.09</v>
      </c>
      <c r="W33" s="37">
        <v>95.5</v>
      </c>
      <c r="X33" s="37">
        <v>152.30000000000001</v>
      </c>
      <c r="Y33" s="37">
        <v>152.30000000000001</v>
      </c>
      <c r="Z33" s="102">
        <f t="shared" ref="Z33:Z53" si="108">+$D$45</f>
        <v>1.3</v>
      </c>
      <c r="AA33" s="110">
        <v>6.1</v>
      </c>
      <c r="AB33" s="56">
        <v>6.2</v>
      </c>
      <c r="AC33" s="111">
        <v>6.2</v>
      </c>
      <c r="AD33" s="110">
        <v>6.1</v>
      </c>
      <c r="AE33" s="56">
        <v>6.2</v>
      </c>
      <c r="AF33" s="111">
        <v>6.2</v>
      </c>
      <c r="AG33" s="105">
        <f t="shared" si="63"/>
        <v>6.1</v>
      </c>
      <c r="AH33" s="37">
        <f t="shared" si="63"/>
        <v>6.2</v>
      </c>
      <c r="AI33" s="102">
        <f t="shared" si="63"/>
        <v>6.2</v>
      </c>
      <c r="AJ33" s="38">
        <f t="shared" si="64"/>
        <v>1.1881000000000003E-2</v>
      </c>
      <c r="AK33" s="38">
        <f t="shared" si="65"/>
        <v>7.8118999999999994E-2</v>
      </c>
      <c r="AL33" s="38">
        <f t="shared" si="66"/>
        <v>0</v>
      </c>
      <c r="AM33" s="38">
        <f t="shared" si="67"/>
        <v>0</v>
      </c>
      <c r="AN33" s="38">
        <f t="shared" si="68"/>
        <v>5.4663466666666665</v>
      </c>
      <c r="AO33" s="39">
        <f t="shared" ref="AO33:AO49" si="109">+IF(R33="NO",0,IF(S33="BE",0.08,0.06))</f>
        <v>0</v>
      </c>
      <c r="AP33" s="92">
        <f t="shared" si="69"/>
        <v>0</v>
      </c>
      <c r="AQ33" s="94">
        <f t="shared" ref="AQ33:AQ53" si="110">+AN33</f>
        <v>5.4663466666666665</v>
      </c>
      <c r="AR33" s="1">
        <f t="shared" ref="AR33:AR52" si="111">+DB33</f>
        <v>4</v>
      </c>
      <c r="AT33" s="49"/>
      <c r="AU33" s="29"/>
      <c r="AV33" s="29"/>
      <c r="AW33" s="48">
        <f t="shared" si="70"/>
        <v>0</v>
      </c>
      <c r="AX33" s="29"/>
      <c r="AY33" s="29"/>
      <c r="AZ33" s="29"/>
      <c r="BA33" s="50"/>
      <c r="BB33" s="49"/>
      <c r="BC33" s="29"/>
      <c r="BD33" s="29"/>
      <c r="BE33" s="48">
        <f t="shared" si="71"/>
        <v>0</v>
      </c>
      <c r="BF33" s="29"/>
      <c r="BG33" s="29"/>
      <c r="BH33" s="29"/>
      <c r="BI33" s="50"/>
      <c r="BJ33" s="49">
        <v>1400</v>
      </c>
      <c r="BK33" s="29">
        <v>1500</v>
      </c>
      <c r="BL33" s="29">
        <v>2</v>
      </c>
      <c r="BM33" s="48">
        <f t="shared" si="72"/>
        <v>2.1</v>
      </c>
      <c r="BN33" s="29">
        <v>4</v>
      </c>
      <c r="BO33" s="29" t="s">
        <v>88</v>
      </c>
      <c r="BP33" s="29" t="s">
        <v>81</v>
      </c>
      <c r="BQ33" s="50">
        <v>4</v>
      </c>
      <c r="BR33" s="49">
        <v>1600</v>
      </c>
      <c r="BS33" s="29">
        <v>2100</v>
      </c>
      <c r="BT33" s="29">
        <v>2</v>
      </c>
      <c r="BU33" s="48">
        <f t="shared" si="73"/>
        <v>3.36</v>
      </c>
      <c r="BV33" s="29">
        <v>4</v>
      </c>
      <c r="BW33" s="29" t="s">
        <v>88</v>
      </c>
      <c r="BX33" s="29" t="s">
        <v>81</v>
      </c>
      <c r="BY33" s="50">
        <v>2</v>
      </c>
      <c r="BZ33" s="49">
        <v>1400</v>
      </c>
      <c r="CA33" s="29">
        <v>1500</v>
      </c>
      <c r="CB33" s="29">
        <f t="shared" si="74"/>
        <v>2.1</v>
      </c>
      <c r="CC33" s="29">
        <v>30</v>
      </c>
      <c r="CD33" s="29">
        <v>29</v>
      </c>
      <c r="CE33" s="29">
        <v>33</v>
      </c>
      <c r="CF33" s="29">
        <v>33</v>
      </c>
      <c r="CG33" s="29">
        <f t="shared" si="75"/>
        <v>4.2857142857142847</v>
      </c>
      <c r="CH33" s="50">
        <f t="shared" si="76"/>
        <v>0</v>
      </c>
      <c r="CI33" s="67">
        <f t="shared" si="77"/>
        <v>300</v>
      </c>
      <c r="CJ33" s="69">
        <f t="shared" si="78"/>
        <v>0.09</v>
      </c>
      <c r="CK33" s="71">
        <f t="shared" ref="CK33:CK53" si="112">+$J$19</f>
        <v>1</v>
      </c>
      <c r="CL33" s="49" t="str">
        <f t="shared" si="79"/>
        <v>0</v>
      </c>
      <c r="CM33" s="29">
        <f t="shared" si="80"/>
        <v>0</v>
      </c>
      <c r="CN33" s="29" t="str">
        <f t="shared" si="81"/>
        <v>0</v>
      </c>
      <c r="CO33" s="50" t="str">
        <f t="shared" si="82"/>
        <v>0</v>
      </c>
      <c r="CP33" s="195" t="str">
        <f t="shared" si="83"/>
        <v>0</v>
      </c>
      <c r="CQ33" s="29">
        <f t="shared" si="84"/>
        <v>0</v>
      </c>
      <c r="CR33" s="29" t="str">
        <f t="shared" si="85"/>
        <v>0</v>
      </c>
      <c r="CS33" s="194" t="str">
        <f t="shared" si="86"/>
        <v>0</v>
      </c>
      <c r="CT33" s="49">
        <f t="shared" si="87"/>
        <v>4</v>
      </c>
      <c r="CU33" s="29">
        <f t="shared" si="88"/>
        <v>9</v>
      </c>
      <c r="CV33" s="29" t="str">
        <f t="shared" si="89"/>
        <v>C</v>
      </c>
      <c r="CW33" s="50">
        <f t="shared" si="90"/>
        <v>4</v>
      </c>
      <c r="CX33" s="49">
        <f t="shared" si="91"/>
        <v>4</v>
      </c>
      <c r="CY33" s="29">
        <f t="shared" si="92"/>
        <v>9</v>
      </c>
      <c r="CZ33" s="29" t="str">
        <f t="shared" si="93"/>
        <v>C</v>
      </c>
      <c r="DA33" s="50">
        <f t="shared" si="94"/>
        <v>2</v>
      </c>
      <c r="DB33" s="49">
        <f t="shared" si="95"/>
        <v>4</v>
      </c>
      <c r="DC33" s="29" t="str">
        <f t="shared" si="96"/>
        <v>9A</v>
      </c>
      <c r="DD33" s="29" t="str">
        <f t="shared" si="97"/>
        <v>C</v>
      </c>
      <c r="DE33" s="29">
        <f t="shared" si="98"/>
        <v>4</v>
      </c>
      <c r="DF33" s="29">
        <f t="shared" si="99"/>
        <v>33</v>
      </c>
      <c r="DG33" s="47">
        <f t="shared" si="100"/>
        <v>5.4663466666666665</v>
      </c>
    </row>
    <row r="34" spans="3:111" ht="15" customHeight="1" thickBot="1">
      <c r="C34" s="15" t="s">
        <v>89</v>
      </c>
      <c r="D34" s="11">
        <v>1</v>
      </c>
      <c r="F34" s="150" t="s">
        <v>90</v>
      </c>
      <c r="G34" s="151">
        <v>0.1</v>
      </c>
      <c r="L34" s="3"/>
      <c r="N34" s="26" t="s">
        <v>92</v>
      </c>
      <c r="O34" s="41">
        <f t="shared" si="101"/>
        <v>1</v>
      </c>
      <c r="P34" s="36">
        <f t="shared" si="102"/>
        <v>0</v>
      </c>
      <c r="Q34" s="36">
        <f t="shared" si="103"/>
        <v>0</v>
      </c>
      <c r="R34" s="37" t="s">
        <v>21</v>
      </c>
      <c r="S34" s="37" t="str">
        <f t="shared" si="104"/>
        <v>BE</v>
      </c>
      <c r="T34" s="37">
        <f t="shared" si="105"/>
        <v>300</v>
      </c>
      <c r="U34" s="37">
        <f t="shared" si="106"/>
        <v>300</v>
      </c>
      <c r="V34" s="97">
        <f t="shared" si="107"/>
        <v>0.09</v>
      </c>
      <c r="W34" s="37">
        <v>93.5</v>
      </c>
      <c r="X34" s="37">
        <v>143.19999999999999</v>
      </c>
      <c r="Y34" s="37">
        <v>143.19999999999999</v>
      </c>
      <c r="Z34" s="102">
        <f t="shared" si="108"/>
        <v>1.3</v>
      </c>
      <c r="AA34" s="110">
        <v>3.5</v>
      </c>
      <c r="AB34" s="56">
        <v>3.5</v>
      </c>
      <c r="AC34" s="111">
        <v>3.5</v>
      </c>
      <c r="AD34" s="110">
        <v>3.2</v>
      </c>
      <c r="AE34" s="56">
        <v>3.3</v>
      </c>
      <c r="AF34" s="111">
        <v>3.3</v>
      </c>
      <c r="AG34" s="105">
        <f t="shared" si="63"/>
        <v>3.2</v>
      </c>
      <c r="AH34" s="37">
        <f t="shared" si="63"/>
        <v>3.3</v>
      </c>
      <c r="AI34" s="102">
        <f t="shared" si="63"/>
        <v>3.3</v>
      </c>
      <c r="AJ34" s="38">
        <f t="shared" si="64"/>
        <v>1.2769000000000003E-2</v>
      </c>
      <c r="AK34" s="38">
        <f t="shared" si="65"/>
        <v>7.7230999999999994E-2</v>
      </c>
      <c r="AL34" s="38">
        <f t="shared" si="66"/>
        <v>0</v>
      </c>
      <c r="AM34" s="38">
        <f t="shared" si="67"/>
        <v>0</v>
      </c>
      <c r="AN34" s="38">
        <f t="shared" si="68"/>
        <v>2.9304322222222221</v>
      </c>
      <c r="AO34" s="39">
        <f t="shared" si="109"/>
        <v>0.08</v>
      </c>
      <c r="AP34" s="92">
        <f t="shared" si="69"/>
        <v>0.40177777777777784</v>
      </c>
      <c r="AQ34" s="94">
        <f t="shared" si="110"/>
        <v>2.9304322222222221</v>
      </c>
      <c r="AR34" s="1">
        <f t="shared" si="111"/>
        <v>4</v>
      </c>
      <c r="AT34" s="49">
        <v>2900</v>
      </c>
      <c r="AU34" s="29">
        <v>2300</v>
      </c>
      <c r="AV34" s="29">
        <v>4</v>
      </c>
      <c r="AW34" s="48">
        <f t="shared" si="70"/>
        <v>6.67</v>
      </c>
      <c r="AX34" s="29">
        <v>4</v>
      </c>
      <c r="AY34" s="29" t="s">
        <v>93</v>
      </c>
      <c r="AZ34" s="29" t="s">
        <v>81</v>
      </c>
      <c r="BA34" s="50">
        <v>1</v>
      </c>
      <c r="BB34" s="49">
        <v>820</v>
      </c>
      <c r="BC34" s="29">
        <v>2100</v>
      </c>
      <c r="BD34" s="29">
        <v>1</v>
      </c>
      <c r="BE34" s="48">
        <f t="shared" si="71"/>
        <v>1.722</v>
      </c>
      <c r="BF34" s="29">
        <v>4</v>
      </c>
      <c r="BG34" s="29" t="s">
        <v>94</v>
      </c>
      <c r="BH34" s="29" t="s">
        <v>81</v>
      </c>
      <c r="BI34" s="50">
        <v>5</v>
      </c>
      <c r="BJ34" s="49">
        <v>1400</v>
      </c>
      <c r="BK34" s="29">
        <v>1500</v>
      </c>
      <c r="BL34" s="29">
        <v>2</v>
      </c>
      <c r="BM34" s="48">
        <f t="shared" si="72"/>
        <v>2.1</v>
      </c>
      <c r="BN34" s="29">
        <v>4</v>
      </c>
      <c r="BO34" s="29" t="s">
        <v>95</v>
      </c>
      <c r="BP34" s="29" t="s">
        <v>81</v>
      </c>
      <c r="BQ34" s="50">
        <v>4</v>
      </c>
      <c r="BR34" s="49">
        <v>1600</v>
      </c>
      <c r="BS34" s="29">
        <v>2100</v>
      </c>
      <c r="BT34" s="29">
        <v>2</v>
      </c>
      <c r="BU34" s="48">
        <f t="shared" si="73"/>
        <v>3.36</v>
      </c>
      <c r="BV34" s="29">
        <v>4</v>
      </c>
      <c r="BW34" s="29" t="s">
        <v>82</v>
      </c>
      <c r="BX34" s="29" t="s">
        <v>81</v>
      </c>
      <c r="BY34" s="50">
        <v>2</v>
      </c>
      <c r="BZ34" s="49">
        <v>1400</v>
      </c>
      <c r="CA34" s="29">
        <v>1500</v>
      </c>
      <c r="CB34" s="29">
        <f t="shared" si="74"/>
        <v>2.1</v>
      </c>
      <c r="CC34" s="29">
        <v>33</v>
      </c>
      <c r="CD34" s="29">
        <v>29</v>
      </c>
      <c r="CE34" s="29">
        <v>36</v>
      </c>
      <c r="CF34" s="29">
        <v>33</v>
      </c>
      <c r="CG34" s="29">
        <f t="shared" si="75"/>
        <v>4.2857142857142847</v>
      </c>
      <c r="CH34" s="50">
        <f t="shared" si="76"/>
        <v>0</v>
      </c>
      <c r="CI34" s="67">
        <f t="shared" si="77"/>
        <v>300</v>
      </c>
      <c r="CJ34" s="69">
        <f t="shared" si="78"/>
        <v>0.09</v>
      </c>
      <c r="CK34" s="71">
        <f t="shared" si="112"/>
        <v>1</v>
      </c>
      <c r="CL34" s="49">
        <f t="shared" si="79"/>
        <v>4</v>
      </c>
      <c r="CM34" s="29">
        <f t="shared" si="80"/>
        <v>6</v>
      </c>
      <c r="CN34" s="29" t="str">
        <f t="shared" si="81"/>
        <v>C</v>
      </c>
      <c r="CO34" s="50">
        <f t="shared" si="82"/>
        <v>1</v>
      </c>
      <c r="CP34" s="195">
        <f t="shared" si="83"/>
        <v>4</v>
      </c>
      <c r="CQ34" s="29">
        <f t="shared" si="84"/>
        <v>1050</v>
      </c>
      <c r="CR34" s="29" t="str">
        <f t="shared" si="85"/>
        <v>C</v>
      </c>
      <c r="CS34" s="194">
        <f t="shared" si="86"/>
        <v>5</v>
      </c>
      <c r="CT34" s="49">
        <f t="shared" si="87"/>
        <v>4</v>
      </c>
      <c r="CU34" s="29">
        <f t="shared" si="88"/>
        <v>8</v>
      </c>
      <c r="CV34" s="29" t="str">
        <f t="shared" si="89"/>
        <v>C</v>
      </c>
      <c r="CW34" s="50">
        <f t="shared" si="90"/>
        <v>4</v>
      </c>
      <c r="CX34" s="49">
        <f t="shared" si="91"/>
        <v>4</v>
      </c>
      <c r="CY34" s="29">
        <f t="shared" si="92"/>
        <v>7</v>
      </c>
      <c r="CZ34" s="29" t="str">
        <f t="shared" si="93"/>
        <v>C</v>
      </c>
      <c r="DA34" s="50">
        <f t="shared" si="94"/>
        <v>2</v>
      </c>
      <c r="DB34" s="49">
        <f t="shared" si="95"/>
        <v>4</v>
      </c>
      <c r="DC34" s="29" t="str">
        <f t="shared" si="96"/>
        <v>E1050</v>
      </c>
      <c r="DD34" s="29" t="str">
        <f t="shared" si="97"/>
        <v>C</v>
      </c>
      <c r="DE34" s="29">
        <f t="shared" si="98"/>
        <v>5</v>
      </c>
      <c r="DF34" s="29">
        <f t="shared" si="99"/>
        <v>36</v>
      </c>
      <c r="DG34" s="47">
        <f t="shared" si="100"/>
        <v>2.9304322222222221</v>
      </c>
    </row>
    <row r="35" spans="3:111" ht="15" customHeight="1">
      <c r="C35" s="15" t="s">
        <v>96</v>
      </c>
      <c r="D35" s="11" t="s">
        <v>23</v>
      </c>
      <c r="F35" s="126" t="s">
        <v>97</v>
      </c>
      <c r="G35" s="127">
        <v>37</v>
      </c>
      <c r="L35"/>
      <c r="M35" s="18"/>
      <c r="N35" s="26" t="s">
        <v>98</v>
      </c>
      <c r="O35" s="41">
        <f t="shared" si="101"/>
        <v>1</v>
      </c>
      <c r="P35" s="36">
        <f t="shared" si="102"/>
        <v>0</v>
      </c>
      <c r="Q35" s="36">
        <f t="shared" si="103"/>
        <v>0</v>
      </c>
      <c r="R35" s="37" t="s">
        <v>21</v>
      </c>
      <c r="S35" s="37" t="str">
        <f t="shared" si="104"/>
        <v>BE</v>
      </c>
      <c r="T35" s="37">
        <f t="shared" si="105"/>
        <v>300</v>
      </c>
      <c r="U35" s="37">
        <f t="shared" si="106"/>
        <v>300</v>
      </c>
      <c r="V35" s="97">
        <f t="shared" si="107"/>
        <v>0.09</v>
      </c>
      <c r="W35" s="37">
        <v>93.5</v>
      </c>
      <c r="X35" s="37">
        <v>143.19999999999999</v>
      </c>
      <c r="Y35" s="37">
        <v>143.19999999999999</v>
      </c>
      <c r="Z35" s="102">
        <f t="shared" si="108"/>
        <v>1.3</v>
      </c>
      <c r="AA35" s="110">
        <v>2.8</v>
      </c>
      <c r="AB35" s="56">
        <v>2.8</v>
      </c>
      <c r="AC35" s="111">
        <v>2.8</v>
      </c>
      <c r="AD35" s="110">
        <v>2.5</v>
      </c>
      <c r="AE35" s="56">
        <v>2.5</v>
      </c>
      <c r="AF35" s="111">
        <v>2.5</v>
      </c>
      <c r="AG35" s="105">
        <f t="shared" si="63"/>
        <v>2.5</v>
      </c>
      <c r="AH35" s="37">
        <f t="shared" si="63"/>
        <v>2.5</v>
      </c>
      <c r="AI35" s="102">
        <f t="shared" si="63"/>
        <v>2.5</v>
      </c>
      <c r="AJ35" s="38">
        <f t="shared" si="64"/>
        <v>1.2769000000000003E-2</v>
      </c>
      <c r="AK35" s="38">
        <f t="shared" si="65"/>
        <v>7.7230999999999994E-2</v>
      </c>
      <c r="AL35" s="38">
        <f t="shared" si="66"/>
        <v>0</v>
      </c>
      <c r="AM35" s="38">
        <f t="shared" si="67"/>
        <v>0</v>
      </c>
      <c r="AN35" s="38">
        <f t="shared" si="68"/>
        <v>2.3297466666666664</v>
      </c>
      <c r="AO35" s="39">
        <f t="shared" si="109"/>
        <v>0.08</v>
      </c>
      <c r="AP35" s="92">
        <f t="shared" si="69"/>
        <v>0.40177777777777784</v>
      </c>
      <c r="AQ35" s="94">
        <f t="shared" si="110"/>
        <v>2.3297466666666664</v>
      </c>
      <c r="AR35" s="1">
        <f t="shared" si="111"/>
        <v>4</v>
      </c>
      <c r="AT35" s="49">
        <v>2900</v>
      </c>
      <c r="AU35" s="29">
        <v>2300</v>
      </c>
      <c r="AV35" s="29">
        <v>4</v>
      </c>
      <c r="AW35" s="48">
        <f t="shared" si="70"/>
        <v>6.67</v>
      </c>
      <c r="AX35" s="29">
        <v>4</v>
      </c>
      <c r="AY35" s="29" t="s">
        <v>93</v>
      </c>
      <c r="AZ35" s="29" t="s">
        <v>81</v>
      </c>
      <c r="BA35" s="50">
        <v>2</v>
      </c>
      <c r="BB35" s="49">
        <v>820</v>
      </c>
      <c r="BC35" s="29">
        <v>2100</v>
      </c>
      <c r="BD35" s="29">
        <v>1</v>
      </c>
      <c r="BE35" s="48">
        <f t="shared" si="71"/>
        <v>1.722</v>
      </c>
      <c r="BF35" s="29">
        <v>4</v>
      </c>
      <c r="BG35" s="29" t="s">
        <v>99</v>
      </c>
      <c r="BH35" s="29" t="s">
        <v>81</v>
      </c>
      <c r="BI35" s="50">
        <v>5</v>
      </c>
      <c r="BJ35" s="49">
        <v>1400</v>
      </c>
      <c r="BK35" s="29">
        <v>1500</v>
      </c>
      <c r="BL35" s="29">
        <v>2</v>
      </c>
      <c r="BM35" s="48">
        <f t="shared" si="72"/>
        <v>2.1</v>
      </c>
      <c r="BN35" s="29">
        <v>4</v>
      </c>
      <c r="BO35" s="29" t="s">
        <v>100</v>
      </c>
      <c r="BP35" s="29" t="s">
        <v>81</v>
      </c>
      <c r="BQ35" s="50">
        <v>4</v>
      </c>
      <c r="BR35" s="49">
        <v>1600</v>
      </c>
      <c r="BS35" s="29">
        <v>2100</v>
      </c>
      <c r="BT35" s="29">
        <v>2</v>
      </c>
      <c r="BU35" s="48">
        <f t="shared" si="73"/>
        <v>3.36</v>
      </c>
      <c r="BV35" s="29">
        <v>4</v>
      </c>
      <c r="BW35" s="29" t="s">
        <v>99</v>
      </c>
      <c r="BX35" s="29" t="s">
        <v>81</v>
      </c>
      <c r="BY35" s="50">
        <v>2</v>
      </c>
      <c r="BZ35" s="49">
        <v>1400</v>
      </c>
      <c r="CA35" s="29">
        <v>1500</v>
      </c>
      <c r="CB35" s="29">
        <f t="shared" si="74"/>
        <v>2.1</v>
      </c>
      <c r="CC35" s="29">
        <v>34</v>
      </c>
      <c r="CD35" s="29">
        <v>29</v>
      </c>
      <c r="CE35" s="29">
        <v>37</v>
      </c>
      <c r="CF35" s="29">
        <v>33</v>
      </c>
      <c r="CG35" s="29">
        <f t="shared" si="75"/>
        <v>4.2857142857142847</v>
      </c>
      <c r="CH35" s="50">
        <f t="shared" si="76"/>
        <v>0</v>
      </c>
      <c r="CI35" s="67">
        <f t="shared" si="77"/>
        <v>300</v>
      </c>
      <c r="CJ35" s="69">
        <f t="shared" si="78"/>
        <v>0.09</v>
      </c>
      <c r="CK35" s="71">
        <f t="shared" si="112"/>
        <v>1</v>
      </c>
      <c r="CL35" s="49">
        <f t="shared" si="79"/>
        <v>4</v>
      </c>
      <c r="CM35" s="29">
        <f t="shared" si="80"/>
        <v>6</v>
      </c>
      <c r="CN35" s="29" t="str">
        <f t="shared" si="81"/>
        <v>C</v>
      </c>
      <c r="CO35" s="50">
        <f t="shared" si="82"/>
        <v>2</v>
      </c>
      <c r="CP35" s="195">
        <f t="shared" si="83"/>
        <v>4</v>
      </c>
      <c r="CQ35" s="29">
        <f t="shared" si="84"/>
        <v>900</v>
      </c>
      <c r="CR35" s="29" t="str">
        <f t="shared" si="85"/>
        <v>C</v>
      </c>
      <c r="CS35" s="194">
        <f t="shared" si="86"/>
        <v>5</v>
      </c>
      <c r="CT35" s="49">
        <f t="shared" si="87"/>
        <v>4</v>
      </c>
      <c r="CU35" s="29">
        <f t="shared" si="88"/>
        <v>1200</v>
      </c>
      <c r="CV35" s="29" t="str">
        <f t="shared" si="89"/>
        <v>C</v>
      </c>
      <c r="CW35" s="50">
        <f t="shared" si="90"/>
        <v>4</v>
      </c>
      <c r="CX35" s="49">
        <f t="shared" si="91"/>
        <v>4</v>
      </c>
      <c r="CY35" s="29">
        <f t="shared" si="92"/>
        <v>900</v>
      </c>
      <c r="CZ35" s="29" t="str">
        <f t="shared" si="93"/>
        <v>C</v>
      </c>
      <c r="DA35" s="50">
        <f t="shared" si="94"/>
        <v>2</v>
      </c>
      <c r="DB35" s="49">
        <f t="shared" si="95"/>
        <v>4</v>
      </c>
      <c r="DC35" s="29" t="str">
        <f t="shared" si="96"/>
        <v>E1200</v>
      </c>
      <c r="DD35" s="29" t="str">
        <f t="shared" si="97"/>
        <v>C</v>
      </c>
      <c r="DE35" s="29">
        <f t="shared" si="98"/>
        <v>5</v>
      </c>
      <c r="DF35" s="29">
        <f t="shared" si="99"/>
        <v>37</v>
      </c>
      <c r="DG35" s="47">
        <f t="shared" si="100"/>
        <v>2.3297466666666664</v>
      </c>
    </row>
    <row r="36" spans="3:111" ht="15" customHeight="1" thickBot="1">
      <c r="C36" s="15" t="s">
        <v>101</v>
      </c>
      <c r="D36" s="11" t="s">
        <v>23</v>
      </c>
      <c r="F36" s="128" t="s">
        <v>49</v>
      </c>
      <c r="G36" s="129">
        <v>1.3</v>
      </c>
      <c r="L36" s="19"/>
      <c r="M36" s="19"/>
      <c r="N36" s="26" t="s">
        <v>102</v>
      </c>
      <c r="O36" s="41">
        <f t="shared" si="101"/>
        <v>1</v>
      </c>
      <c r="P36" s="36">
        <f t="shared" si="102"/>
        <v>0</v>
      </c>
      <c r="Q36" s="36">
        <f t="shared" si="103"/>
        <v>0</v>
      </c>
      <c r="R36" s="37" t="s">
        <v>21</v>
      </c>
      <c r="S36" s="37" t="str">
        <f t="shared" si="104"/>
        <v>BE</v>
      </c>
      <c r="T36" s="37">
        <f t="shared" si="105"/>
        <v>300</v>
      </c>
      <c r="U36" s="37">
        <f t="shared" si="106"/>
        <v>300</v>
      </c>
      <c r="V36" s="97">
        <f t="shared" si="107"/>
        <v>0.09</v>
      </c>
      <c r="W36" s="37">
        <v>93.5</v>
      </c>
      <c r="X36" s="37">
        <v>143.19999999999999</v>
      </c>
      <c r="Y36" s="37">
        <v>143.19999999999999</v>
      </c>
      <c r="Z36" s="102">
        <f t="shared" si="108"/>
        <v>1.3</v>
      </c>
      <c r="AA36" s="110">
        <v>2.9</v>
      </c>
      <c r="AB36" s="56">
        <v>3</v>
      </c>
      <c r="AC36" s="111">
        <v>3</v>
      </c>
      <c r="AD36" s="110">
        <v>2.5</v>
      </c>
      <c r="AE36" s="56">
        <v>2.6</v>
      </c>
      <c r="AF36" s="111">
        <v>2.6</v>
      </c>
      <c r="AG36" s="105">
        <f t="shared" si="63"/>
        <v>2.5</v>
      </c>
      <c r="AH36" s="37">
        <f t="shared" si="63"/>
        <v>2.6</v>
      </c>
      <c r="AI36" s="102">
        <f t="shared" si="63"/>
        <v>2.6</v>
      </c>
      <c r="AJ36" s="38">
        <f t="shared" si="64"/>
        <v>1.2769000000000003E-2</v>
      </c>
      <c r="AK36" s="38">
        <f t="shared" si="65"/>
        <v>7.7230999999999994E-2</v>
      </c>
      <c r="AL36" s="38">
        <f t="shared" si="66"/>
        <v>0</v>
      </c>
      <c r="AM36" s="38">
        <f t="shared" si="67"/>
        <v>0</v>
      </c>
      <c r="AN36" s="38">
        <f t="shared" si="68"/>
        <v>2.3297466666666664</v>
      </c>
      <c r="AO36" s="39">
        <f t="shared" si="109"/>
        <v>0.08</v>
      </c>
      <c r="AP36" s="92">
        <f t="shared" si="69"/>
        <v>0.40177777777777784</v>
      </c>
      <c r="AQ36" s="94">
        <f t="shared" si="110"/>
        <v>2.3297466666666664</v>
      </c>
      <c r="AR36" s="1">
        <f t="shared" si="111"/>
        <v>4</v>
      </c>
      <c r="AT36" s="49"/>
      <c r="AU36" s="29"/>
      <c r="AV36" s="29"/>
      <c r="AW36" s="48">
        <f t="shared" si="70"/>
        <v>0</v>
      </c>
      <c r="AX36" s="29"/>
      <c r="AY36" s="29"/>
      <c r="AZ36" s="29"/>
      <c r="BA36" s="50"/>
      <c r="BB36" s="49">
        <v>2900</v>
      </c>
      <c r="BC36" s="29">
        <v>2300</v>
      </c>
      <c r="BD36" s="29">
        <v>4</v>
      </c>
      <c r="BE36" s="48">
        <f t="shared" si="71"/>
        <v>6.67</v>
      </c>
      <c r="BF36" s="29">
        <v>4</v>
      </c>
      <c r="BG36" s="29" t="s">
        <v>95</v>
      </c>
      <c r="BH36" s="29" t="s">
        <v>81</v>
      </c>
      <c r="BI36" s="50">
        <v>2</v>
      </c>
      <c r="BJ36" s="49">
        <v>820</v>
      </c>
      <c r="BK36" s="29">
        <v>2100</v>
      </c>
      <c r="BL36" s="29">
        <v>1</v>
      </c>
      <c r="BM36" s="48">
        <f t="shared" si="72"/>
        <v>1.722</v>
      </c>
      <c r="BN36" s="29">
        <v>4</v>
      </c>
      <c r="BO36" s="29" t="s">
        <v>80</v>
      </c>
      <c r="BP36" s="29" t="s">
        <v>81</v>
      </c>
      <c r="BQ36" s="50">
        <v>5</v>
      </c>
      <c r="BR36" s="49">
        <v>1600</v>
      </c>
      <c r="BS36" s="29">
        <v>2100</v>
      </c>
      <c r="BT36" s="29">
        <v>2</v>
      </c>
      <c r="BU36" s="48">
        <f t="shared" si="73"/>
        <v>3.36</v>
      </c>
      <c r="BV36" s="29">
        <v>4</v>
      </c>
      <c r="BW36" s="29" t="s">
        <v>103</v>
      </c>
      <c r="BX36" s="29" t="s">
        <v>81</v>
      </c>
      <c r="BY36" s="50">
        <v>3</v>
      </c>
      <c r="BZ36" s="49">
        <v>1400</v>
      </c>
      <c r="CA36" s="29">
        <v>1500</v>
      </c>
      <c r="CB36" s="29">
        <f t="shared" si="74"/>
        <v>2.1</v>
      </c>
      <c r="CC36" s="29">
        <v>33</v>
      </c>
      <c r="CD36" s="29">
        <v>29</v>
      </c>
      <c r="CE36" s="29">
        <v>37</v>
      </c>
      <c r="CF36" s="29">
        <v>33</v>
      </c>
      <c r="CG36" s="29">
        <f t="shared" si="75"/>
        <v>4.2857142857142847</v>
      </c>
      <c r="CH36" s="50">
        <f t="shared" si="76"/>
        <v>0</v>
      </c>
      <c r="CI36" s="67">
        <f t="shared" si="77"/>
        <v>300</v>
      </c>
      <c r="CJ36" s="69">
        <f t="shared" si="78"/>
        <v>0.09</v>
      </c>
      <c r="CK36" s="71">
        <f t="shared" si="112"/>
        <v>1</v>
      </c>
      <c r="CL36" s="49" t="str">
        <f t="shared" si="79"/>
        <v>0</v>
      </c>
      <c r="CM36" s="29">
        <f t="shared" si="80"/>
        <v>0</v>
      </c>
      <c r="CN36" s="29" t="str">
        <f t="shared" si="81"/>
        <v>0</v>
      </c>
      <c r="CO36" s="50" t="str">
        <f t="shared" si="82"/>
        <v>0</v>
      </c>
      <c r="CP36" s="195">
        <f t="shared" si="83"/>
        <v>4</v>
      </c>
      <c r="CQ36" s="29">
        <f t="shared" si="84"/>
        <v>8</v>
      </c>
      <c r="CR36" s="29" t="str">
        <f t="shared" si="85"/>
        <v>C</v>
      </c>
      <c r="CS36" s="194">
        <f t="shared" si="86"/>
        <v>2</v>
      </c>
      <c r="CT36" s="49">
        <f t="shared" si="87"/>
        <v>4</v>
      </c>
      <c r="CU36" s="29">
        <f t="shared" si="88"/>
        <v>1350</v>
      </c>
      <c r="CV36" s="29" t="str">
        <f t="shared" si="89"/>
        <v>C</v>
      </c>
      <c r="CW36" s="50">
        <f t="shared" si="90"/>
        <v>5</v>
      </c>
      <c r="CX36" s="49">
        <f t="shared" si="91"/>
        <v>4</v>
      </c>
      <c r="CY36" s="29">
        <f t="shared" si="92"/>
        <v>1500</v>
      </c>
      <c r="CZ36" s="29" t="str">
        <f t="shared" si="93"/>
        <v>C</v>
      </c>
      <c r="DA36" s="50">
        <f t="shared" si="94"/>
        <v>3</v>
      </c>
      <c r="DB36" s="49">
        <f t="shared" si="95"/>
        <v>4</v>
      </c>
      <c r="DC36" s="29" t="str">
        <f t="shared" si="96"/>
        <v>E1500</v>
      </c>
      <c r="DD36" s="29" t="str">
        <f t="shared" si="97"/>
        <v>C</v>
      </c>
      <c r="DE36" s="29">
        <f t="shared" si="98"/>
        <v>5</v>
      </c>
      <c r="DF36" s="29">
        <f t="shared" si="99"/>
        <v>37</v>
      </c>
      <c r="DG36" s="47">
        <f t="shared" si="100"/>
        <v>2.3297466666666664</v>
      </c>
    </row>
    <row r="37" spans="3:111" ht="15" customHeight="1" thickBot="1">
      <c r="C37" s="16" t="s">
        <v>104</v>
      </c>
      <c r="D37" s="7">
        <v>300</v>
      </c>
      <c r="F37"/>
      <c r="G37"/>
      <c r="H37"/>
      <c r="L37" s="19"/>
      <c r="M37" s="19"/>
      <c r="N37" s="26" t="s">
        <v>105</v>
      </c>
      <c r="O37" s="41">
        <f t="shared" si="101"/>
        <v>1</v>
      </c>
      <c r="P37" s="36">
        <f t="shared" si="102"/>
        <v>0</v>
      </c>
      <c r="Q37" s="36">
        <f t="shared" si="103"/>
        <v>0</v>
      </c>
      <c r="R37" s="37" t="s">
        <v>21</v>
      </c>
      <c r="S37" s="37" t="str">
        <f t="shared" si="104"/>
        <v>BE</v>
      </c>
      <c r="T37" s="37">
        <f t="shared" si="105"/>
        <v>300</v>
      </c>
      <c r="U37" s="37">
        <f t="shared" si="106"/>
        <v>300</v>
      </c>
      <c r="V37" s="97">
        <f t="shared" si="107"/>
        <v>0.09</v>
      </c>
      <c r="W37" s="60">
        <v>93</v>
      </c>
      <c r="X37" s="60">
        <v>147</v>
      </c>
      <c r="Y37" s="61">
        <v>147</v>
      </c>
      <c r="Z37" s="102">
        <f t="shared" si="108"/>
        <v>1.3</v>
      </c>
      <c r="AA37" s="112">
        <v>2.9</v>
      </c>
      <c r="AB37" s="113">
        <v>3</v>
      </c>
      <c r="AC37" s="114">
        <v>3</v>
      </c>
      <c r="AD37" s="112">
        <v>2.5</v>
      </c>
      <c r="AE37" s="113">
        <v>2.6</v>
      </c>
      <c r="AF37" s="114">
        <v>2.6</v>
      </c>
      <c r="AG37" s="61">
        <f t="shared" si="63"/>
        <v>2.5</v>
      </c>
      <c r="AH37" s="61">
        <f t="shared" si="63"/>
        <v>2.6</v>
      </c>
      <c r="AI37" s="102">
        <f t="shared" si="63"/>
        <v>2.6</v>
      </c>
      <c r="AJ37" s="38">
        <f t="shared" si="64"/>
        <v>1.2995999999999994E-2</v>
      </c>
      <c r="AK37" s="38">
        <f t="shared" si="65"/>
        <v>7.7004000000000003E-2</v>
      </c>
      <c r="AL37" s="38">
        <f t="shared" si="66"/>
        <v>0</v>
      </c>
      <c r="AM37" s="38">
        <f t="shared" si="67"/>
        <v>0</v>
      </c>
      <c r="AN37" s="38">
        <f t="shared" si="68"/>
        <v>2.3267199999999999</v>
      </c>
      <c r="AO37" s="39">
        <f t="shared" si="109"/>
        <v>0.08</v>
      </c>
      <c r="AP37" s="92">
        <f t="shared" si="69"/>
        <v>0.40533333333333343</v>
      </c>
      <c r="AQ37" s="94">
        <f t="shared" si="110"/>
        <v>2.3267199999999999</v>
      </c>
      <c r="AR37" s="1">
        <f t="shared" si="111"/>
        <v>4</v>
      </c>
      <c r="AT37" s="49"/>
      <c r="AU37" s="29"/>
      <c r="AV37" s="29"/>
      <c r="AW37" s="48">
        <f t="shared" si="70"/>
        <v>0</v>
      </c>
      <c r="AX37" s="29"/>
      <c r="AY37" s="29"/>
      <c r="AZ37" s="29"/>
      <c r="BA37" s="50"/>
      <c r="BB37" s="49">
        <v>2900</v>
      </c>
      <c r="BC37" s="29">
        <v>2300</v>
      </c>
      <c r="BD37" s="29">
        <v>4</v>
      </c>
      <c r="BE37" s="48">
        <f t="shared" si="71"/>
        <v>6.67</v>
      </c>
      <c r="BF37" s="29">
        <v>4</v>
      </c>
      <c r="BG37" s="29" t="s">
        <v>95</v>
      </c>
      <c r="BH37" s="29" t="s">
        <v>81</v>
      </c>
      <c r="BI37" s="50">
        <v>2</v>
      </c>
      <c r="BJ37" s="49">
        <v>820</v>
      </c>
      <c r="BK37" s="29">
        <v>2100</v>
      </c>
      <c r="BL37" s="29">
        <v>1</v>
      </c>
      <c r="BM37" s="48">
        <f t="shared" si="72"/>
        <v>1.722</v>
      </c>
      <c r="BN37" s="29">
        <v>4</v>
      </c>
      <c r="BO37" s="29" t="s">
        <v>80</v>
      </c>
      <c r="BP37" s="29" t="s">
        <v>81</v>
      </c>
      <c r="BQ37" s="50">
        <v>5</v>
      </c>
      <c r="BR37" s="49">
        <v>1600</v>
      </c>
      <c r="BS37" s="29">
        <v>2100</v>
      </c>
      <c r="BT37" s="29">
        <v>2</v>
      </c>
      <c r="BU37" s="48">
        <f t="shared" si="73"/>
        <v>3.36</v>
      </c>
      <c r="BV37" s="29">
        <v>4</v>
      </c>
      <c r="BW37" s="29" t="s">
        <v>103</v>
      </c>
      <c r="BX37" s="29" t="s">
        <v>81</v>
      </c>
      <c r="BY37" s="50">
        <v>3</v>
      </c>
      <c r="BZ37" s="49">
        <v>1400</v>
      </c>
      <c r="CA37" s="29">
        <v>1500</v>
      </c>
      <c r="CB37" s="29">
        <f t="shared" si="74"/>
        <v>2.1</v>
      </c>
      <c r="CC37" s="29">
        <v>33</v>
      </c>
      <c r="CD37" s="29">
        <v>29</v>
      </c>
      <c r="CE37" s="29">
        <v>37</v>
      </c>
      <c r="CF37" s="29">
        <v>33</v>
      </c>
      <c r="CG37" s="29">
        <f t="shared" si="75"/>
        <v>4.2857142857142847</v>
      </c>
      <c r="CH37" s="50">
        <f t="shared" si="76"/>
        <v>0</v>
      </c>
      <c r="CI37" s="67">
        <f t="shared" si="77"/>
        <v>300</v>
      </c>
      <c r="CJ37" s="69">
        <f t="shared" si="78"/>
        <v>0.09</v>
      </c>
      <c r="CK37" s="71">
        <f t="shared" si="112"/>
        <v>1</v>
      </c>
      <c r="CL37" s="49" t="str">
        <f t="shared" si="79"/>
        <v>0</v>
      </c>
      <c r="CM37" s="29">
        <f t="shared" si="80"/>
        <v>0</v>
      </c>
      <c r="CN37" s="29" t="str">
        <f t="shared" si="81"/>
        <v>0</v>
      </c>
      <c r="CO37" s="50" t="str">
        <f t="shared" si="82"/>
        <v>0</v>
      </c>
      <c r="CP37" s="195">
        <f t="shared" si="83"/>
        <v>4</v>
      </c>
      <c r="CQ37" s="29">
        <f t="shared" si="84"/>
        <v>8</v>
      </c>
      <c r="CR37" s="29" t="str">
        <f t="shared" si="85"/>
        <v>C</v>
      </c>
      <c r="CS37" s="194">
        <f t="shared" si="86"/>
        <v>2</v>
      </c>
      <c r="CT37" s="49">
        <f t="shared" si="87"/>
        <v>4</v>
      </c>
      <c r="CU37" s="29">
        <f t="shared" si="88"/>
        <v>1350</v>
      </c>
      <c r="CV37" s="29" t="str">
        <f t="shared" si="89"/>
        <v>C</v>
      </c>
      <c r="CW37" s="50">
        <f t="shared" si="90"/>
        <v>5</v>
      </c>
      <c r="CX37" s="49">
        <f t="shared" si="91"/>
        <v>4</v>
      </c>
      <c r="CY37" s="29">
        <f t="shared" si="92"/>
        <v>1500</v>
      </c>
      <c r="CZ37" s="29" t="str">
        <f t="shared" si="93"/>
        <v>C</v>
      </c>
      <c r="DA37" s="50">
        <f t="shared" si="94"/>
        <v>3</v>
      </c>
      <c r="DB37" s="49">
        <f t="shared" si="95"/>
        <v>4</v>
      </c>
      <c r="DC37" s="29" t="str">
        <f t="shared" si="96"/>
        <v>E1500</v>
      </c>
      <c r="DD37" s="29" t="str">
        <f t="shared" si="97"/>
        <v>C</v>
      </c>
      <c r="DE37" s="29">
        <f t="shared" si="98"/>
        <v>5</v>
      </c>
      <c r="DF37" s="29">
        <f t="shared" si="99"/>
        <v>37</v>
      </c>
      <c r="DG37" s="47">
        <f t="shared" si="100"/>
        <v>2.3267199999999999</v>
      </c>
    </row>
    <row r="38" spans="3:111" ht="15" thickBot="1">
      <c r="C38" s="16" t="s">
        <v>106</v>
      </c>
      <c r="D38" s="7">
        <v>300</v>
      </c>
      <c r="F38" s="143" t="s">
        <v>57</v>
      </c>
      <c r="G38" s="95">
        <f>VLOOKUP(D32,N32:AQ53,30,FALSE)</f>
        <v>2.3297466666666664</v>
      </c>
      <c r="H38"/>
      <c r="L38" s="19"/>
      <c r="M38" s="19"/>
      <c r="N38" s="26" t="s">
        <v>107</v>
      </c>
      <c r="O38" s="41">
        <f t="shared" si="101"/>
        <v>1</v>
      </c>
      <c r="P38" s="36">
        <f t="shared" si="102"/>
        <v>0</v>
      </c>
      <c r="Q38" s="36">
        <f t="shared" si="103"/>
        <v>0</v>
      </c>
      <c r="R38" s="37" t="s">
        <v>21</v>
      </c>
      <c r="S38" s="37" t="str">
        <f t="shared" si="104"/>
        <v>BE</v>
      </c>
      <c r="T38" s="37">
        <f t="shared" si="105"/>
        <v>300</v>
      </c>
      <c r="U38" s="37">
        <f t="shared" si="106"/>
        <v>300</v>
      </c>
      <c r="V38" s="97">
        <f t="shared" si="107"/>
        <v>0.09</v>
      </c>
      <c r="W38" s="60">
        <v>95.5</v>
      </c>
      <c r="X38" s="60">
        <v>147.19999999999999</v>
      </c>
      <c r="Y38" s="61">
        <v>147.19999999999999</v>
      </c>
      <c r="Z38" s="102">
        <f t="shared" si="108"/>
        <v>1.3</v>
      </c>
      <c r="AA38" s="112">
        <v>1.9</v>
      </c>
      <c r="AB38" s="113">
        <v>1.9</v>
      </c>
      <c r="AC38" s="114">
        <v>1.9</v>
      </c>
      <c r="AD38" s="112">
        <v>1.6</v>
      </c>
      <c r="AE38" s="113">
        <v>1.6</v>
      </c>
      <c r="AF38" s="114">
        <v>1.6</v>
      </c>
      <c r="AG38" s="61">
        <f t="shared" si="63"/>
        <v>1.6</v>
      </c>
      <c r="AH38" s="61">
        <f t="shared" si="63"/>
        <v>1.6</v>
      </c>
      <c r="AI38" s="102">
        <f t="shared" si="63"/>
        <v>1.6</v>
      </c>
      <c r="AJ38" s="38">
        <f t="shared" si="64"/>
        <v>1.1881000000000003E-2</v>
      </c>
      <c r="AK38" s="38">
        <f t="shared" si="65"/>
        <v>7.8118999999999994E-2</v>
      </c>
      <c r="AL38" s="38">
        <f t="shared" si="66"/>
        <v>0</v>
      </c>
      <c r="AM38" s="38">
        <f t="shared" si="67"/>
        <v>0</v>
      </c>
      <c r="AN38" s="38">
        <f t="shared" si="68"/>
        <v>1.5603966666666667</v>
      </c>
      <c r="AO38" s="39">
        <v>3.1E-2</v>
      </c>
      <c r="AP38" s="92">
        <f t="shared" si="69"/>
        <v>0.1501777777777778</v>
      </c>
      <c r="AQ38" s="94">
        <f t="shared" si="110"/>
        <v>1.5603966666666667</v>
      </c>
      <c r="AR38" s="1">
        <f t="shared" si="111"/>
        <v>4</v>
      </c>
      <c r="AT38" s="49"/>
      <c r="AU38" s="29"/>
      <c r="AV38" s="29"/>
      <c r="AW38" s="48">
        <f t="shared" si="70"/>
        <v>0</v>
      </c>
      <c r="AX38" s="29"/>
      <c r="AY38" s="29"/>
      <c r="AZ38" s="29"/>
      <c r="BA38" s="50"/>
      <c r="BB38" s="49">
        <v>2900</v>
      </c>
      <c r="BC38" s="29">
        <v>2300</v>
      </c>
      <c r="BD38" s="29">
        <v>4</v>
      </c>
      <c r="BE38" s="48">
        <f t="shared" si="71"/>
        <v>6.67</v>
      </c>
      <c r="BF38" s="29">
        <v>4</v>
      </c>
      <c r="BG38" s="29" t="s">
        <v>95</v>
      </c>
      <c r="BH38" s="29" t="s">
        <v>81</v>
      </c>
      <c r="BI38" s="50">
        <v>2</v>
      </c>
      <c r="BJ38" s="49">
        <v>820</v>
      </c>
      <c r="BK38" s="29">
        <v>2100</v>
      </c>
      <c r="BL38" s="29">
        <v>1</v>
      </c>
      <c r="BM38" s="48">
        <f t="shared" si="72"/>
        <v>1.722</v>
      </c>
      <c r="BN38" s="29">
        <v>4</v>
      </c>
      <c r="BO38" s="29" t="s">
        <v>80</v>
      </c>
      <c r="BP38" s="29" t="s">
        <v>81</v>
      </c>
      <c r="BQ38" s="50">
        <v>5</v>
      </c>
      <c r="BR38" s="49">
        <v>1600</v>
      </c>
      <c r="BS38" s="29">
        <v>2100</v>
      </c>
      <c r="BT38" s="29">
        <v>2</v>
      </c>
      <c r="BU38" s="48">
        <f t="shared" si="73"/>
        <v>3.36</v>
      </c>
      <c r="BV38" s="29">
        <v>4</v>
      </c>
      <c r="BW38" s="29" t="s">
        <v>103</v>
      </c>
      <c r="BX38" s="29" t="s">
        <v>81</v>
      </c>
      <c r="BY38" s="50">
        <v>3</v>
      </c>
      <c r="BZ38" s="49">
        <v>1400</v>
      </c>
      <c r="CA38" s="29">
        <v>1500</v>
      </c>
      <c r="CB38" s="29">
        <f t="shared" si="74"/>
        <v>2.1</v>
      </c>
      <c r="CC38" s="29">
        <v>33</v>
      </c>
      <c r="CD38" s="29">
        <v>29</v>
      </c>
      <c r="CE38" s="29">
        <v>37</v>
      </c>
      <c r="CF38" s="29">
        <v>33</v>
      </c>
      <c r="CG38" s="29">
        <f t="shared" si="75"/>
        <v>4.2857142857142847</v>
      </c>
      <c r="CH38" s="50">
        <f t="shared" si="76"/>
        <v>0</v>
      </c>
      <c r="CI38" s="67">
        <f t="shared" si="77"/>
        <v>300</v>
      </c>
      <c r="CJ38" s="69">
        <f t="shared" si="78"/>
        <v>0.09</v>
      </c>
      <c r="CK38" s="71">
        <f t="shared" si="112"/>
        <v>1</v>
      </c>
      <c r="CL38" s="49" t="str">
        <f t="shared" si="79"/>
        <v>0</v>
      </c>
      <c r="CM38" s="29">
        <f t="shared" si="80"/>
        <v>0</v>
      </c>
      <c r="CN38" s="29" t="str">
        <f t="shared" si="81"/>
        <v>0</v>
      </c>
      <c r="CO38" s="50" t="str">
        <f t="shared" si="82"/>
        <v>0</v>
      </c>
      <c r="CP38" s="195">
        <f t="shared" si="83"/>
        <v>4</v>
      </c>
      <c r="CQ38" s="29">
        <f t="shared" si="84"/>
        <v>8</v>
      </c>
      <c r="CR38" s="29" t="str">
        <f t="shared" si="85"/>
        <v>C</v>
      </c>
      <c r="CS38" s="194">
        <f t="shared" si="86"/>
        <v>2</v>
      </c>
      <c r="CT38" s="49">
        <f t="shared" si="87"/>
        <v>4</v>
      </c>
      <c r="CU38" s="29">
        <f t="shared" si="88"/>
        <v>1350</v>
      </c>
      <c r="CV38" s="29" t="str">
        <f t="shared" si="89"/>
        <v>C</v>
      </c>
      <c r="CW38" s="50">
        <f t="shared" si="90"/>
        <v>5</v>
      </c>
      <c r="CX38" s="49">
        <f t="shared" si="91"/>
        <v>4</v>
      </c>
      <c r="CY38" s="29">
        <f t="shared" si="92"/>
        <v>1500</v>
      </c>
      <c r="CZ38" s="29" t="str">
        <f t="shared" si="93"/>
        <v>C</v>
      </c>
      <c r="DA38" s="50">
        <f t="shared" si="94"/>
        <v>3</v>
      </c>
      <c r="DB38" s="49">
        <f t="shared" si="95"/>
        <v>4</v>
      </c>
      <c r="DC38" s="29" t="str">
        <f t="shared" si="96"/>
        <v>E1500</v>
      </c>
      <c r="DD38" s="29" t="str">
        <f t="shared" si="97"/>
        <v>C</v>
      </c>
      <c r="DE38" s="29">
        <f t="shared" si="98"/>
        <v>5</v>
      </c>
      <c r="DF38" s="29">
        <f t="shared" si="99"/>
        <v>37</v>
      </c>
      <c r="DG38" s="47">
        <f t="shared" si="100"/>
        <v>1.5603966666666667</v>
      </c>
    </row>
    <row r="39" spans="3:111" ht="15" hidden="1" thickBot="1">
      <c r="C39" s="124"/>
      <c r="D39" s="125"/>
      <c r="F39" s="143" t="s">
        <v>108</v>
      </c>
      <c r="G39" s="145">
        <f>VLOOKUP(D32,N32:AR52,31,FALSE)</f>
        <v>4</v>
      </c>
      <c r="H39"/>
      <c r="L39" s="19"/>
      <c r="M39" s="19"/>
      <c r="N39" s="26" t="s">
        <v>109</v>
      </c>
      <c r="O39" s="41">
        <f t="shared" si="101"/>
        <v>1</v>
      </c>
      <c r="P39" s="36">
        <f t="shared" si="102"/>
        <v>0</v>
      </c>
      <c r="Q39" s="36">
        <f t="shared" si="103"/>
        <v>0</v>
      </c>
      <c r="R39" s="37" t="s">
        <v>21</v>
      </c>
      <c r="S39" s="37" t="str">
        <f>+IF(I$9="N","N","BE")</f>
        <v>BE</v>
      </c>
      <c r="T39" s="37">
        <f t="shared" si="105"/>
        <v>300</v>
      </c>
      <c r="U39" s="37">
        <f t="shared" si="106"/>
        <v>300</v>
      </c>
      <c r="V39" s="97">
        <f t="shared" si="107"/>
        <v>0.09</v>
      </c>
      <c r="W39" s="60">
        <v>66.3</v>
      </c>
      <c r="X39" s="60">
        <v>79.5</v>
      </c>
      <c r="Y39" s="61">
        <v>79.5</v>
      </c>
      <c r="Z39" s="102">
        <f t="shared" si="108"/>
        <v>1.3</v>
      </c>
      <c r="AA39" s="112">
        <v>3.7</v>
      </c>
      <c r="AB39" s="113">
        <v>3.7</v>
      </c>
      <c r="AC39" s="114">
        <v>3.7</v>
      </c>
      <c r="AD39" s="112">
        <v>3.7</v>
      </c>
      <c r="AE39" s="113">
        <v>3.7</v>
      </c>
      <c r="AF39" s="114">
        <v>3.7</v>
      </c>
      <c r="AG39" s="61">
        <f t="shared" ref="AG39:AI41" si="113">+IF($D$12="SI",AD39,AA39)</f>
        <v>3.7</v>
      </c>
      <c r="AH39" s="61">
        <f t="shared" si="113"/>
        <v>3.7</v>
      </c>
      <c r="AI39" s="102">
        <f t="shared" si="113"/>
        <v>3.7</v>
      </c>
      <c r="AJ39" s="38">
        <f>+(T39*U39)/1000000-AK39-AL39-AM39</f>
        <v>2.8022760000000001E-2</v>
      </c>
      <c r="AK39" s="38">
        <f>+(T39*U39-(T39-2*W39)*(U39-2*W39))/1000000</f>
        <v>6.1977239999999996E-2</v>
      </c>
      <c r="AL39" s="38">
        <f>+(U39-2*W39)/1000000*X39*P39</f>
        <v>0</v>
      </c>
      <c r="AM39" s="38">
        <f>+(U39-2*W39)/1000000*Y39*Q39</f>
        <v>0</v>
      </c>
      <c r="AN39" s="38">
        <f>+(Z39*AJ39+AG39*AK39+AL39*AH39+AI39*AM39)/(AJ39+AK39+AL39+AM39)</f>
        <v>2.9527264</v>
      </c>
      <c r="AO39" s="39">
        <v>0.08</v>
      </c>
      <c r="AP39" s="92">
        <f>+AO39*((T39-2*W39-P39*X39-Q39*Y39)/1000*2+(U39-2*W39)/1000*2*(P39+Q39+1))/(AJ39+AK39+AL39+AM39)</f>
        <v>0.59519999999999995</v>
      </c>
      <c r="AQ39" s="94">
        <f t="shared" si="110"/>
        <v>2.9527264</v>
      </c>
      <c r="AR39" s="1">
        <f t="shared" si="111"/>
        <v>4</v>
      </c>
      <c r="AT39" s="49"/>
      <c r="AU39" s="29"/>
      <c r="AV39" s="29"/>
      <c r="AW39" s="48"/>
      <c r="AX39" s="29"/>
      <c r="AY39" s="29"/>
      <c r="AZ39" s="29"/>
      <c r="BA39" s="50"/>
      <c r="BB39" s="49"/>
      <c r="BC39" s="29"/>
      <c r="BD39" s="29"/>
      <c r="BE39" s="48"/>
      <c r="BF39" s="29"/>
      <c r="BG39" s="29"/>
      <c r="BH39" s="29"/>
      <c r="BI39" s="50"/>
      <c r="BJ39" s="49">
        <v>1400</v>
      </c>
      <c r="BK39" s="29">
        <v>1500</v>
      </c>
      <c r="BL39" s="29">
        <v>2</v>
      </c>
      <c r="BM39" s="48">
        <f t="shared" si="72"/>
        <v>2.1</v>
      </c>
      <c r="BN39" s="29">
        <v>4</v>
      </c>
      <c r="BO39" s="29" t="s">
        <v>80</v>
      </c>
      <c r="BP39" s="29" t="s">
        <v>81</v>
      </c>
      <c r="BQ39" s="50">
        <v>4</v>
      </c>
      <c r="BR39" s="49">
        <v>1600</v>
      </c>
      <c r="BS39" s="29">
        <v>2100</v>
      </c>
      <c r="BT39" s="29">
        <v>2</v>
      </c>
      <c r="BU39" s="48">
        <f t="shared" si="73"/>
        <v>3.36</v>
      </c>
      <c r="BV39" s="29">
        <v>4</v>
      </c>
      <c r="BW39" s="29" t="s">
        <v>82</v>
      </c>
      <c r="BX39" s="29" t="s">
        <v>81</v>
      </c>
      <c r="BY39" s="50">
        <v>2</v>
      </c>
      <c r="BZ39" s="49">
        <v>1400</v>
      </c>
      <c r="CA39" s="29">
        <v>1500</v>
      </c>
      <c r="CB39" s="29">
        <f t="shared" si="74"/>
        <v>2.1</v>
      </c>
      <c r="CC39" s="29">
        <v>31</v>
      </c>
      <c r="CD39" s="29">
        <v>29</v>
      </c>
      <c r="CE39" s="29">
        <v>34</v>
      </c>
      <c r="CF39" s="29">
        <v>33</v>
      </c>
      <c r="CG39" s="29">
        <f t="shared" si="75"/>
        <v>4.2857142857142847</v>
      </c>
      <c r="CH39" s="50">
        <f t="shared" si="76"/>
        <v>0</v>
      </c>
      <c r="CI39" s="67">
        <f t="shared" si="77"/>
        <v>300</v>
      </c>
      <c r="CJ39" s="69">
        <f t="shared" si="78"/>
        <v>0.09</v>
      </c>
      <c r="CK39" s="71">
        <f>+$J$19</f>
        <v>1</v>
      </c>
      <c r="CL39" s="49" t="str">
        <f t="shared" si="79"/>
        <v>0</v>
      </c>
      <c r="CM39" s="29">
        <f t="shared" si="80"/>
        <v>0</v>
      </c>
      <c r="CN39" s="29" t="str">
        <f t="shared" si="81"/>
        <v>0</v>
      </c>
      <c r="CO39" s="50" t="str">
        <f t="shared" si="82"/>
        <v>0</v>
      </c>
      <c r="CP39" s="195" t="str">
        <f t="shared" si="83"/>
        <v>0</v>
      </c>
      <c r="CQ39" s="29">
        <f t="shared" si="84"/>
        <v>0</v>
      </c>
      <c r="CR39" s="29" t="str">
        <f t="shared" si="85"/>
        <v>0</v>
      </c>
      <c r="CS39" s="194" t="str">
        <f t="shared" si="86"/>
        <v>0</v>
      </c>
      <c r="CT39" s="49">
        <f t="shared" si="87"/>
        <v>4</v>
      </c>
      <c r="CU39" s="29">
        <f t="shared" si="88"/>
        <v>1350</v>
      </c>
      <c r="CV39" s="29" t="str">
        <f t="shared" si="89"/>
        <v>C</v>
      </c>
      <c r="CW39" s="50">
        <f t="shared" si="90"/>
        <v>4</v>
      </c>
      <c r="CX39" s="49">
        <f t="shared" si="91"/>
        <v>4</v>
      </c>
      <c r="CY39" s="29">
        <f t="shared" si="92"/>
        <v>7</v>
      </c>
      <c r="CZ39" s="29" t="str">
        <f t="shared" si="93"/>
        <v>C</v>
      </c>
      <c r="DA39" s="50">
        <f t="shared" si="94"/>
        <v>2</v>
      </c>
      <c r="DB39" s="49">
        <f t="shared" si="95"/>
        <v>4</v>
      </c>
      <c r="DC39" s="29" t="str">
        <f t="shared" si="96"/>
        <v>E1350</v>
      </c>
      <c r="DD39" s="29" t="str">
        <f t="shared" si="97"/>
        <v>C</v>
      </c>
      <c r="DE39" s="29">
        <f t="shared" si="98"/>
        <v>4</v>
      </c>
      <c r="DF39" s="29">
        <f t="shared" si="99"/>
        <v>34</v>
      </c>
      <c r="DG39" s="47">
        <f t="shared" si="100"/>
        <v>2.9527264</v>
      </c>
    </row>
    <row r="40" spans="3:111" hidden="1">
      <c r="C40" s="124"/>
      <c r="D40" s="125"/>
      <c r="F40" s="146" t="s">
        <v>110</v>
      </c>
      <c r="G40" s="147" t="str">
        <f>+IF(G38&lt;1.5,"A",IF(G38&lt;2,"B",IF(G38&lt;2.5,"C",IF(G38&lt;2.7,"D",IF(G38&lt;3,"E",IF(G38&lt;3.5,"F","G"))))))</f>
        <v>C</v>
      </c>
      <c r="H40"/>
      <c r="L40" s="19"/>
      <c r="M40" s="19"/>
      <c r="N40" s="26"/>
      <c r="O40" s="41"/>
      <c r="P40" s="36"/>
      <c r="Q40" s="36"/>
      <c r="R40" s="37"/>
      <c r="S40" s="37"/>
      <c r="T40" s="37"/>
      <c r="U40" s="37"/>
      <c r="V40" s="97"/>
      <c r="W40" s="60"/>
      <c r="X40" s="60"/>
      <c r="Y40" s="61"/>
      <c r="Z40" s="102"/>
      <c r="AA40" s="112"/>
      <c r="AB40" s="113"/>
      <c r="AC40" s="114"/>
      <c r="AD40" s="112"/>
      <c r="AE40" s="113"/>
      <c r="AF40" s="114"/>
      <c r="AG40" s="61"/>
      <c r="AH40" s="61"/>
      <c r="AI40" s="102"/>
      <c r="AJ40" s="38"/>
      <c r="AK40" s="38"/>
      <c r="AL40" s="38"/>
      <c r="AM40" s="38"/>
      <c r="AN40" s="38"/>
      <c r="AO40" s="39"/>
      <c r="AP40" s="92"/>
      <c r="AQ40" s="94"/>
      <c r="AR40" s="1">
        <f t="shared" si="111"/>
        <v>0</v>
      </c>
      <c r="AT40" s="49"/>
      <c r="AU40" s="29"/>
      <c r="AV40" s="29"/>
      <c r="AW40" s="48"/>
      <c r="AX40" s="29"/>
      <c r="AY40" s="29"/>
      <c r="AZ40" s="29"/>
      <c r="BA40" s="50"/>
      <c r="BB40" s="49"/>
      <c r="BC40" s="29"/>
      <c r="BD40" s="29"/>
      <c r="BE40" s="48"/>
      <c r="BF40" s="29"/>
      <c r="BG40" s="29"/>
      <c r="BH40" s="29"/>
      <c r="BI40" s="50"/>
      <c r="BJ40" s="49"/>
      <c r="BK40" s="29"/>
      <c r="BL40" s="29"/>
      <c r="BM40" s="48"/>
      <c r="BN40" s="29"/>
      <c r="BO40" s="29"/>
      <c r="BP40" s="29"/>
      <c r="BQ40" s="50"/>
      <c r="BR40" s="49"/>
      <c r="BS40" s="29"/>
      <c r="BT40" s="29"/>
      <c r="BU40" s="48"/>
      <c r="BV40" s="29"/>
      <c r="BW40" s="29"/>
      <c r="BX40" s="29"/>
      <c r="BY40" s="50"/>
      <c r="BZ40" s="49"/>
      <c r="CA40" s="29"/>
      <c r="CB40" s="29"/>
      <c r="CC40" s="29"/>
      <c r="CD40" s="29"/>
      <c r="CE40" s="29"/>
      <c r="CF40" s="29"/>
      <c r="CG40" s="29"/>
      <c r="CH40" s="50"/>
      <c r="CI40" s="67"/>
      <c r="CJ40" s="69"/>
      <c r="CK40" s="71"/>
      <c r="CL40" s="49"/>
      <c r="CM40" s="29"/>
      <c r="CN40" s="29"/>
      <c r="CO40" s="50"/>
      <c r="CP40" s="195"/>
      <c r="CQ40" s="29"/>
      <c r="CR40" s="29"/>
      <c r="CS40" s="194"/>
      <c r="CT40" s="49"/>
      <c r="CU40" s="29"/>
      <c r="CV40" s="29"/>
      <c r="CW40" s="50"/>
      <c r="CX40" s="49"/>
      <c r="CY40" s="29"/>
      <c r="CZ40" s="29"/>
      <c r="DA40" s="50"/>
      <c r="DB40" s="49"/>
      <c r="DC40" s="29"/>
      <c r="DD40" s="29"/>
      <c r="DE40" s="29"/>
      <c r="DF40" s="29"/>
      <c r="DG40" s="47"/>
    </row>
    <row r="41" spans="3:111" ht="15" hidden="1" thickBot="1">
      <c r="C41" s="124"/>
      <c r="D41" s="125"/>
      <c r="F41" s="148" t="s">
        <v>111</v>
      </c>
      <c r="G41" s="149" t="str">
        <f>+IF(G34="","NPD",IF(G34&lt;=0.4,"***",IF(G34&lt;=0.6,"**","*")))</f>
        <v>***</v>
      </c>
      <c r="H41"/>
      <c r="L41" s="19"/>
      <c r="M41" s="19"/>
      <c r="N41" s="26" t="s">
        <v>76</v>
      </c>
      <c r="O41" s="41">
        <f t="shared" si="101"/>
        <v>1</v>
      </c>
      <c r="P41" s="36">
        <f t="shared" si="102"/>
        <v>0</v>
      </c>
      <c r="Q41" s="36">
        <f t="shared" si="103"/>
        <v>0</v>
      </c>
      <c r="R41" s="37" t="s">
        <v>21</v>
      </c>
      <c r="S41" s="37" t="str">
        <f t="shared" si="104"/>
        <v>BE</v>
      </c>
      <c r="T41" s="37">
        <f t="shared" si="105"/>
        <v>300</v>
      </c>
      <c r="U41" s="37">
        <f t="shared" si="106"/>
        <v>300</v>
      </c>
      <c r="V41" s="97">
        <f t="shared" si="107"/>
        <v>0.09</v>
      </c>
      <c r="W41" s="60">
        <v>66.3</v>
      </c>
      <c r="X41" s="60">
        <v>79.5</v>
      </c>
      <c r="Y41" s="61">
        <v>79.5</v>
      </c>
      <c r="Z41" s="102">
        <f t="shared" si="108"/>
        <v>1.3</v>
      </c>
      <c r="AA41" s="112">
        <v>2.2000000000000002</v>
      </c>
      <c r="AB41" s="113">
        <v>2.2000000000000002</v>
      </c>
      <c r="AC41" s="114">
        <v>2.2000000000000002</v>
      </c>
      <c r="AD41" s="112">
        <v>2</v>
      </c>
      <c r="AE41" s="113">
        <v>2</v>
      </c>
      <c r="AF41" s="114">
        <v>2</v>
      </c>
      <c r="AG41" s="61">
        <f t="shared" si="113"/>
        <v>2</v>
      </c>
      <c r="AH41" s="61">
        <f t="shared" si="113"/>
        <v>2</v>
      </c>
      <c r="AI41" s="102">
        <f t="shared" si="113"/>
        <v>2</v>
      </c>
      <c r="AJ41" s="38">
        <f t="shared" si="64"/>
        <v>2.8022760000000001E-2</v>
      </c>
      <c r="AK41" s="38">
        <f t="shared" si="65"/>
        <v>6.1977239999999996E-2</v>
      </c>
      <c r="AL41" s="38">
        <f t="shared" si="66"/>
        <v>0</v>
      </c>
      <c r="AM41" s="38">
        <f t="shared" si="67"/>
        <v>0</v>
      </c>
      <c r="AN41" s="38">
        <f t="shared" si="68"/>
        <v>1.7820452</v>
      </c>
      <c r="AO41" s="39">
        <f>+IF(R41="NO",0,IF(S41="BE",0.08,0.06))</f>
        <v>0.08</v>
      </c>
      <c r="AP41" s="92">
        <f t="shared" si="69"/>
        <v>0.59519999999999995</v>
      </c>
      <c r="AQ41" s="94">
        <f>+AN41</f>
        <v>1.7820452</v>
      </c>
      <c r="AR41" s="1">
        <f t="shared" si="111"/>
        <v>4</v>
      </c>
      <c r="AT41" s="49"/>
      <c r="AU41" s="29"/>
      <c r="AV41" s="29"/>
      <c r="AW41" s="48"/>
      <c r="AX41" s="29"/>
      <c r="AY41" s="29"/>
      <c r="AZ41" s="29"/>
      <c r="BA41" s="50"/>
      <c r="BB41" s="49"/>
      <c r="BC41" s="29"/>
      <c r="BD41" s="29"/>
      <c r="BE41" s="48"/>
      <c r="BF41" s="29"/>
      <c r="BG41" s="29"/>
      <c r="BH41" s="29"/>
      <c r="BI41" s="50"/>
      <c r="BJ41" s="49"/>
      <c r="BK41" s="29"/>
      <c r="BL41" s="29"/>
      <c r="BM41" s="48"/>
      <c r="BN41" s="29"/>
      <c r="BO41" s="29"/>
      <c r="BP41" s="29"/>
      <c r="BQ41" s="50"/>
      <c r="BR41" s="49">
        <v>950</v>
      </c>
      <c r="BS41" s="29">
        <v>1480</v>
      </c>
      <c r="BT41" s="29">
        <v>1</v>
      </c>
      <c r="BU41" s="48">
        <f t="shared" si="73"/>
        <v>1.4059999999999999</v>
      </c>
      <c r="BV41" s="29">
        <v>4</v>
      </c>
      <c r="BW41" s="29" t="s">
        <v>103</v>
      </c>
      <c r="BX41" s="29" t="s">
        <v>81</v>
      </c>
      <c r="BY41" s="50">
        <v>5</v>
      </c>
      <c r="BZ41" s="49">
        <v>1230</v>
      </c>
      <c r="CA41" s="29">
        <v>1480</v>
      </c>
      <c r="CB41" s="29">
        <f t="shared" si="74"/>
        <v>1.8204</v>
      </c>
      <c r="CC41" s="29">
        <v>32</v>
      </c>
      <c r="CD41" s="29">
        <v>29</v>
      </c>
      <c r="CE41" s="29">
        <v>35</v>
      </c>
      <c r="CF41" s="29">
        <v>33</v>
      </c>
      <c r="CG41" s="29">
        <f t="shared" si="75"/>
        <v>4.9439683586025049</v>
      </c>
      <c r="CH41" s="50">
        <f t="shared" si="76"/>
        <v>0</v>
      </c>
      <c r="CI41" s="67">
        <f t="shared" si="77"/>
        <v>300</v>
      </c>
      <c r="CJ41" s="69">
        <f t="shared" si="78"/>
        <v>0.09</v>
      </c>
      <c r="CK41" s="71">
        <v>3</v>
      </c>
      <c r="CL41" s="49" t="str">
        <f t="shared" si="79"/>
        <v>0</v>
      </c>
      <c r="CM41" s="29">
        <f t="shared" si="80"/>
        <v>0</v>
      </c>
      <c r="CN41" s="29" t="str">
        <f t="shared" si="81"/>
        <v>0</v>
      </c>
      <c r="CO41" s="50" t="str">
        <f t="shared" si="82"/>
        <v>0</v>
      </c>
      <c r="CP41" s="195" t="str">
        <f t="shared" si="83"/>
        <v>0</v>
      </c>
      <c r="CQ41" s="29">
        <f t="shared" si="84"/>
        <v>0</v>
      </c>
      <c r="CR41" s="29" t="str">
        <f t="shared" si="85"/>
        <v>0</v>
      </c>
      <c r="CS41" s="194" t="str">
        <f t="shared" si="86"/>
        <v>0</v>
      </c>
      <c r="CT41" s="49" t="str">
        <f t="shared" si="87"/>
        <v>0</v>
      </c>
      <c r="CU41" s="29">
        <f t="shared" si="88"/>
        <v>0</v>
      </c>
      <c r="CV41" s="29" t="str">
        <f t="shared" si="89"/>
        <v>0</v>
      </c>
      <c r="CW41" s="50" t="str">
        <f t="shared" si="90"/>
        <v>0</v>
      </c>
      <c r="CX41" s="49" t="str">
        <f t="shared" si="91"/>
        <v>0</v>
      </c>
      <c r="CY41" s="29">
        <f t="shared" si="92"/>
        <v>0</v>
      </c>
      <c r="CZ41" s="29" t="str">
        <f t="shared" si="93"/>
        <v>0</v>
      </c>
      <c r="DA41" s="50" t="str">
        <f t="shared" si="94"/>
        <v>0</v>
      </c>
      <c r="DB41" s="49">
        <v>4</v>
      </c>
      <c r="DC41" s="29" t="s">
        <v>99</v>
      </c>
      <c r="DD41" s="29" t="s">
        <v>81</v>
      </c>
      <c r="DE41" s="29" t="str">
        <f t="shared" si="98"/>
        <v>1</v>
      </c>
      <c r="DF41" s="29">
        <f t="shared" si="99"/>
        <v>35</v>
      </c>
      <c r="DG41" s="47">
        <f t="shared" si="100"/>
        <v>1.7820452</v>
      </c>
    </row>
    <row r="42" spans="3:111" ht="15" hidden="1" thickBot="1">
      <c r="D42" s="20"/>
      <c r="F42" s="82" t="s">
        <v>113</v>
      </c>
      <c r="G42" s="83">
        <f>+VLOOKUP(D32,N32:DG53,96,FALSE)</f>
        <v>5</v>
      </c>
      <c r="H42" s="197" t="s">
        <v>39</v>
      </c>
      <c r="I42" s="196" t="s">
        <v>40</v>
      </c>
      <c r="J42" s="1" t="s">
        <v>114</v>
      </c>
      <c r="L42" s="19"/>
      <c r="M42" s="19"/>
      <c r="N42" s="26" t="s">
        <v>112</v>
      </c>
      <c r="O42" s="41">
        <f t="shared" si="101"/>
        <v>1</v>
      </c>
      <c r="P42" s="36">
        <f t="shared" si="102"/>
        <v>0</v>
      </c>
      <c r="Q42" s="36">
        <f t="shared" si="103"/>
        <v>0</v>
      </c>
      <c r="R42" s="37" t="s">
        <v>21</v>
      </c>
      <c r="S42" s="37" t="str">
        <f t="shared" ref="S42:S53" si="114">+IF(I$9="N","N","BE")</f>
        <v>BE</v>
      </c>
      <c r="T42" s="37">
        <f t="shared" si="105"/>
        <v>300</v>
      </c>
      <c r="U42" s="37">
        <f t="shared" si="106"/>
        <v>300</v>
      </c>
      <c r="V42" s="97">
        <f t="shared" si="107"/>
        <v>0.09</v>
      </c>
      <c r="W42" s="60">
        <v>94.5</v>
      </c>
      <c r="X42" s="60">
        <v>143.1</v>
      </c>
      <c r="Y42" s="61">
        <v>143.1</v>
      </c>
      <c r="Z42" s="102">
        <f t="shared" si="108"/>
        <v>1.3</v>
      </c>
      <c r="AA42" s="112">
        <v>3.5</v>
      </c>
      <c r="AB42" s="113">
        <v>3.5</v>
      </c>
      <c r="AC42" s="114">
        <v>3.5</v>
      </c>
      <c r="AD42" s="112">
        <v>3.2</v>
      </c>
      <c r="AE42" s="113">
        <v>3.2</v>
      </c>
      <c r="AF42" s="114">
        <v>3.3</v>
      </c>
      <c r="AG42" s="61">
        <f t="shared" ref="AG42:AG53" si="115">+IF($D$12="SI",AD42,AA42)</f>
        <v>3.2</v>
      </c>
      <c r="AH42" s="61">
        <f t="shared" ref="AH42:AH53" si="116">+IF($D$12="SI",AE42,AB42)</f>
        <v>3.2</v>
      </c>
      <c r="AI42" s="102">
        <f t="shared" ref="AI42:AI53" si="117">+IF($D$12="SI",AF42,AC42)</f>
        <v>3.3</v>
      </c>
      <c r="AJ42" s="38">
        <f t="shared" ref="AJ42:AJ53" si="118">+(T42*U42)/1000000-AK42-AL42-AM42</f>
        <v>1.2320999999999999E-2</v>
      </c>
      <c r="AK42" s="38">
        <f t="shared" si="65"/>
        <v>7.7678999999999998E-2</v>
      </c>
      <c r="AL42" s="38">
        <f t="shared" si="66"/>
        <v>0</v>
      </c>
      <c r="AM42" s="38">
        <f t="shared" si="67"/>
        <v>0</v>
      </c>
      <c r="AN42" s="38">
        <f t="shared" ref="AN42:AN53" si="119">+(Z42*AJ42+AG42*AK42+AL42*AH42+AI42*AM42)/(AJ42+AK42+AL42+AM42)</f>
        <v>2.9398900000000001</v>
      </c>
      <c r="AO42" s="39">
        <f t="shared" si="109"/>
        <v>0.08</v>
      </c>
      <c r="AP42" s="92">
        <f t="shared" ref="AP42:AP53" si="120">+AO42*((T42-2*W42-P42*X42-Q42*Y42)/1000*2+(U42-2*W42)/1000*2*(P42+Q42+1))/(AJ42+AK42+AL42+AM42)</f>
        <v>0.39466666666666672</v>
      </c>
      <c r="AQ42" s="94">
        <f t="shared" si="110"/>
        <v>2.9398900000000001</v>
      </c>
      <c r="AR42" s="1">
        <f t="shared" si="111"/>
        <v>4</v>
      </c>
      <c r="AT42" s="49"/>
      <c r="AU42" s="29"/>
      <c r="AV42" s="29"/>
      <c r="AW42" s="48"/>
      <c r="AX42" s="29"/>
      <c r="AY42" s="29"/>
      <c r="AZ42" s="29"/>
      <c r="BA42" s="50"/>
      <c r="BB42" s="49"/>
      <c r="BC42" s="29"/>
      <c r="BD42" s="29"/>
      <c r="BE42" s="48"/>
      <c r="BF42" s="29"/>
      <c r="BG42" s="29"/>
      <c r="BH42" s="29"/>
      <c r="BI42" s="50"/>
      <c r="BJ42" s="49"/>
      <c r="BK42" s="29"/>
      <c r="BL42" s="29"/>
      <c r="BM42" s="48"/>
      <c r="BN42" s="29"/>
      <c r="BO42" s="29"/>
      <c r="BP42" s="29"/>
      <c r="BQ42" s="50"/>
      <c r="BR42" s="49">
        <v>950</v>
      </c>
      <c r="BS42" s="29">
        <v>1480</v>
      </c>
      <c r="BT42" s="29">
        <v>1</v>
      </c>
      <c r="BU42" s="48">
        <f t="shared" si="73"/>
        <v>1.4059999999999999</v>
      </c>
      <c r="BV42" s="29">
        <v>4</v>
      </c>
      <c r="BW42" s="29" t="s">
        <v>103</v>
      </c>
      <c r="BX42" s="29" t="s">
        <v>81</v>
      </c>
      <c r="BY42" s="50">
        <v>5</v>
      </c>
      <c r="BZ42" s="49">
        <v>1230</v>
      </c>
      <c r="CA42" s="29">
        <v>1480</v>
      </c>
      <c r="CB42" s="29">
        <f t="shared" si="74"/>
        <v>1.8204</v>
      </c>
      <c r="CC42" s="29">
        <v>32</v>
      </c>
      <c r="CD42" s="29">
        <v>29</v>
      </c>
      <c r="CE42" s="29">
        <v>46</v>
      </c>
      <c r="CF42" s="29">
        <v>40</v>
      </c>
      <c r="CG42" s="29">
        <f t="shared" si="75"/>
        <v>4.9439683586025049</v>
      </c>
      <c r="CH42" s="50">
        <f t="shared" si="76"/>
        <v>0</v>
      </c>
      <c r="CI42" s="67">
        <f t="shared" ref="CI42:CI50" si="121">+U42</f>
        <v>300</v>
      </c>
      <c r="CJ42" s="69">
        <f t="shared" ref="CJ42:CJ50" si="122">+V42</f>
        <v>0.09</v>
      </c>
      <c r="CK42" s="71">
        <v>3</v>
      </c>
      <c r="CL42" s="49" t="str">
        <f t="shared" si="79"/>
        <v>0</v>
      </c>
      <c r="CM42" s="29">
        <f t="shared" si="80"/>
        <v>0</v>
      </c>
      <c r="CN42" s="29" t="str">
        <f t="shared" si="81"/>
        <v>0</v>
      </c>
      <c r="CO42" s="50" t="str">
        <f t="shared" si="82"/>
        <v>0</v>
      </c>
      <c r="CP42" s="195" t="str">
        <f t="shared" si="83"/>
        <v>0</v>
      </c>
      <c r="CQ42" s="29">
        <f t="shared" si="84"/>
        <v>0</v>
      </c>
      <c r="CR42" s="29" t="str">
        <f t="shared" si="85"/>
        <v>0</v>
      </c>
      <c r="CS42" s="194" t="str">
        <f t="shared" si="86"/>
        <v>0</v>
      </c>
      <c r="CT42" s="49" t="str">
        <f t="shared" si="87"/>
        <v>0</v>
      </c>
      <c r="CU42" s="29">
        <f t="shared" si="88"/>
        <v>0</v>
      </c>
      <c r="CV42" s="29" t="str">
        <f t="shared" si="89"/>
        <v>0</v>
      </c>
      <c r="CW42" s="50" t="str">
        <f t="shared" si="90"/>
        <v>0</v>
      </c>
      <c r="CX42" s="49" t="str">
        <f t="shared" si="91"/>
        <v>0</v>
      </c>
      <c r="CY42" s="29">
        <f t="shared" si="92"/>
        <v>0</v>
      </c>
      <c r="CZ42" s="29" t="str">
        <f t="shared" si="93"/>
        <v>0</v>
      </c>
      <c r="DA42" s="50" t="str">
        <f t="shared" si="94"/>
        <v>0</v>
      </c>
      <c r="DB42" s="49">
        <v>4</v>
      </c>
      <c r="DC42" s="29" t="s">
        <v>99</v>
      </c>
      <c r="DD42" s="29" t="s">
        <v>81</v>
      </c>
      <c r="DE42" s="29" t="str">
        <f t="shared" si="98"/>
        <v>1</v>
      </c>
      <c r="DF42" s="29">
        <f t="shared" si="99"/>
        <v>32</v>
      </c>
      <c r="DG42" s="47">
        <f t="shared" si="100"/>
        <v>2.9398900000000001</v>
      </c>
    </row>
    <row r="43" spans="3:111" ht="15" hidden="1" thickBot="1">
      <c r="C43" s="203" t="s">
        <v>141</v>
      </c>
      <c r="D43" s="204"/>
      <c r="F43" s="84" t="s">
        <v>113</v>
      </c>
      <c r="G43" s="85" t="str">
        <f>+VLOOKUP(D32,N32:DG53,95,FALSE)</f>
        <v>C</v>
      </c>
      <c r="H43" s="59">
        <f>+VLOOKUP(D34,J$5:M$10,3,FALSE)</f>
        <v>0</v>
      </c>
      <c r="I43" s="23">
        <f>+VLOOKUP(D34,J$5:M$10,4,FALSE)</f>
        <v>0</v>
      </c>
      <c r="J43" s="62">
        <f>+H43+I43+1</f>
        <v>1</v>
      </c>
      <c r="K43"/>
      <c r="L43" s="19"/>
      <c r="M43" s="19"/>
      <c r="N43" s="26" t="s">
        <v>115</v>
      </c>
      <c r="O43" s="41">
        <f t="shared" si="101"/>
        <v>1</v>
      </c>
      <c r="P43" s="36">
        <f t="shared" si="102"/>
        <v>0</v>
      </c>
      <c r="Q43" s="36">
        <f t="shared" si="103"/>
        <v>0</v>
      </c>
      <c r="R43" s="37" t="s">
        <v>21</v>
      </c>
      <c r="S43" s="37" t="str">
        <f t="shared" si="114"/>
        <v>BE</v>
      </c>
      <c r="T43" s="37">
        <f t="shared" si="105"/>
        <v>300</v>
      </c>
      <c r="U43" s="37">
        <f t="shared" si="106"/>
        <v>300</v>
      </c>
      <c r="V43" s="97">
        <f t="shared" si="107"/>
        <v>0.09</v>
      </c>
      <c r="W43" s="60">
        <v>94.5</v>
      </c>
      <c r="X43" s="60">
        <v>143.1</v>
      </c>
      <c r="Y43" s="61">
        <v>143.1</v>
      </c>
      <c r="Z43" s="102">
        <f t="shared" si="108"/>
        <v>1.3</v>
      </c>
      <c r="AA43" s="112">
        <v>2.9</v>
      </c>
      <c r="AB43" s="113">
        <v>2.9</v>
      </c>
      <c r="AC43" s="114">
        <v>2.9</v>
      </c>
      <c r="AD43" s="112">
        <v>2.9</v>
      </c>
      <c r="AE43" s="113">
        <v>2.9</v>
      </c>
      <c r="AF43" s="114">
        <v>2.9</v>
      </c>
      <c r="AG43" s="61">
        <f t="shared" si="115"/>
        <v>2.9</v>
      </c>
      <c r="AH43" s="61">
        <f t="shared" si="116"/>
        <v>2.9</v>
      </c>
      <c r="AI43" s="102">
        <f t="shared" si="117"/>
        <v>2.9</v>
      </c>
      <c r="AJ43" s="38">
        <f t="shared" si="118"/>
        <v>1.2320999999999999E-2</v>
      </c>
      <c r="AK43" s="38">
        <f t="shared" si="65"/>
        <v>7.7678999999999998E-2</v>
      </c>
      <c r="AL43" s="38">
        <f t="shared" si="66"/>
        <v>0</v>
      </c>
      <c r="AM43" s="38">
        <f t="shared" si="67"/>
        <v>0</v>
      </c>
      <c r="AN43" s="38">
        <f t="shared" si="119"/>
        <v>2.6809600000000002</v>
      </c>
      <c r="AO43" s="39">
        <f t="shared" si="109"/>
        <v>0.08</v>
      </c>
      <c r="AP43" s="92">
        <f t="shared" si="120"/>
        <v>0.39466666666666672</v>
      </c>
      <c r="AQ43" s="94">
        <f t="shared" si="110"/>
        <v>2.6809600000000002</v>
      </c>
      <c r="AR43" s="1">
        <f t="shared" si="111"/>
        <v>4</v>
      </c>
      <c r="AT43" s="49"/>
      <c r="AU43" s="29"/>
      <c r="AV43" s="29"/>
      <c r="AW43" s="48">
        <f t="shared" ref="AW43:AW50" si="123">+AT43*AU43/1000000</f>
        <v>0</v>
      </c>
      <c r="AX43" s="29"/>
      <c r="AY43" s="29"/>
      <c r="AZ43" s="29"/>
      <c r="BA43" s="50"/>
      <c r="BB43" s="49">
        <v>1340</v>
      </c>
      <c r="BC43" s="29">
        <v>1690</v>
      </c>
      <c r="BD43" s="29">
        <v>3</v>
      </c>
      <c r="BE43" s="48">
        <f t="shared" ref="BE43:BE50" si="124">+BB43*BC43/1000000</f>
        <v>2.2646000000000002</v>
      </c>
      <c r="BF43" s="29">
        <v>4</v>
      </c>
      <c r="BG43" s="29" t="s">
        <v>88</v>
      </c>
      <c r="BH43" s="29" t="s">
        <v>81</v>
      </c>
      <c r="BI43" s="50">
        <v>3</v>
      </c>
      <c r="BJ43" s="49">
        <v>1800</v>
      </c>
      <c r="BK43" s="29">
        <v>2200</v>
      </c>
      <c r="BL43" s="29">
        <v>3</v>
      </c>
      <c r="BM43" s="48">
        <f t="shared" ref="BM43:BM50" si="125">+BJ43*BK43/1000000</f>
        <v>3.96</v>
      </c>
      <c r="BN43" s="29">
        <v>4</v>
      </c>
      <c r="BO43" s="29" t="s">
        <v>95</v>
      </c>
      <c r="BP43" s="29" t="s">
        <v>81</v>
      </c>
      <c r="BQ43" s="50">
        <v>2</v>
      </c>
      <c r="BR43" s="49">
        <v>1880</v>
      </c>
      <c r="BS43" s="29">
        <v>2390</v>
      </c>
      <c r="BT43" s="29">
        <v>3</v>
      </c>
      <c r="BU43" s="48">
        <f t="shared" si="73"/>
        <v>4.4931999999999999</v>
      </c>
      <c r="BV43" s="29">
        <v>4</v>
      </c>
      <c r="BW43" s="29" t="s">
        <v>88</v>
      </c>
      <c r="BX43" s="29" t="s">
        <v>81</v>
      </c>
      <c r="BY43" s="50">
        <v>2</v>
      </c>
      <c r="BZ43" s="49">
        <v>1230</v>
      </c>
      <c r="CA43" s="29">
        <v>1480</v>
      </c>
      <c r="CB43" s="29">
        <f t="shared" si="74"/>
        <v>1.8204</v>
      </c>
      <c r="CC43" s="29">
        <v>32</v>
      </c>
      <c r="CD43" s="29">
        <v>29</v>
      </c>
      <c r="CE43" s="29">
        <v>36</v>
      </c>
      <c r="CF43" s="29">
        <v>36</v>
      </c>
      <c r="CG43" s="29">
        <f t="shared" si="75"/>
        <v>4.9439683586025049</v>
      </c>
      <c r="CH43" s="50">
        <f t="shared" si="76"/>
        <v>0</v>
      </c>
      <c r="CI43" s="67">
        <f t="shared" si="121"/>
        <v>300</v>
      </c>
      <c r="CJ43" s="69">
        <f t="shared" si="122"/>
        <v>0.09</v>
      </c>
      <c r="CK43" s="71">
        <f t="shared" si="112"/>
        <v>1</v>
      </c>
      <c r="CL43" s="49" t="str">
        <f t="shared" si="79"/>
        <v>0</v>
      </c>
      <c r="CM43" s="29">
        <f t="shared" si="80"/>
        <v>0</v>
      </c>
      <c r="CN43" s="29" t="str">
        <f t="shared" si="81"/>
        <v>0</v>
      </c>
      <c r="CO43" s="50" t="str">
        <f t="shared" si="82"/>
        <v>0</v>
      </c>
      <c r="CP43" s="195">
        <f t="shared" si="83"/>
        <v>4</v>
      </c>
      <c r="CQ43" s="29">
        <f t="shared" si="84"/>
        <v>9</v>
      </c>
      <c r="CR43" s="29" t="str">
        <f t="shared" si="85"/>
        <v>C</v>
      </c>
      <c r="CS43" s="194">
        <f t="shared" si="86"/>
        <v>3</v>
      </c>
      <c r="CT43" s="49">
        <f t="shared" si="87"/>
        <v>4</v>
      </c>
      <c r="CU43" s="29">
        <f t="shared" si="88"/>
        <v>8</v>
      </c>
      <c r="CV43" s="29" t="str">
        <f t="shared" si="89"/>
        <v>C</v>
      </c>
      <c r="CW43" s="50">
        <f t="shared" si="90"/>
        <v>2</v>
      </c>
      <c r="CX43" s="49">
        <f t="shared" si="91"/>
        <v>4</v>
      </c>
      <c r="CY43" s="29">
        <f t="shared" si="92"/>
        <v>9</v>
      </c>
      <c r="CZ43" s="29" t="str">
        <f t="shared" si="93"/>
        <v>C</v>
      </c>
      <c r="DA43" s="50">
        <f t="shared" si="94"/>
        <v>2</v>
      </c>
      <c r="DB43" s="49">
        <f t="shared" ref="DB43:DB53" si="126">IF(MAX(CL43,CP43,CT43,CX43)=0,"NPD",MAX(CL43,CP43,CT43,CX43))</f>
        <v>4</v>
      </c>
      <c r="DC43" s="29" t="str">
        <f t="shared" ref="DC43:DC53" si="127">IF(MAX(CM43,CQ43,CU43,CY43)&gt;10,"E"&amp;MAX(CM43,CQ43,CU43,CY43),IF(MAX(CM43,CQ43,CU43,CY43)=0,"NPD",MAX(CM43,CQ43,CU43,CY43)&amp;"A"))</f>
        <v>9A</v>
      </c>
      <c r="DD43" s="29" t="str">
        <f>+IF(OR(CN43="C",CR43="C",CV43="C",CZ43="C")=TRUE,"C",IF(OR(CN43="B",CR43="B",CV43="B",CZ43="B")=TRUE,"B",IF(OR(CN43="A",CR43="A",CV43="A",CZ43="A")=TRUE,"A","B")))</f>
        <v>C</v>
      </c>
      <c r="DE43" s="29">
        <f t="shared" si="98"/>
        <v>3</v>
      </c>
      <c r="DF43" s="29">
        <f t="shared" si="99"/>
        <v>36</v>
      </c>
      <c r="DG43" s="47">
        <f t="shared" si="100"/>
        <v>2.6809600000000002</v>
      </c>
    </row>
    <row r="44" spans="3:111" hidden="1">
      <c r="C44" s="5" t="s">
        <v>77</v>
      </c>
      <c r="D44" s="13" t="str">
        <f>+F33</f>
        <v>4+4 Silence/18/6 Guardian Sun</v>
      </c>
      <c r="F44" s="84" t="s">
        <v>118</v>
      </c>
      <c r="G44" s="85" t="str">
        <f>+VLOOKUP(D32,N32:DG53,94,FALSE)</f>
        <v>E1500</v>
      </c>
      <c r="H44"/>
      <c r="I44"/>
      <c r="K44"/>
      <c r="L44" s="19"/>
      <c r="M44" s="19"/>
      <c r="N44" s="26" t="s">
        <v>117</v>
      </c>
      <c r="O44" s="41">
        <f t="shared" si="101"/>
        <v>1</v>
      </c>
      <c r="P44" s="36">
        <f t="shared" si="102"/>
        <v>0</v>
      </c>
      <c r="Q44" s="36">
        <f t="shared" si="103"/>
        <v>0</v>
      </c>
      <c r="R44" s="37" t="s">
        <v>21</v>
      </c>
      <c r="S44" s="37" t="str">
        <f t="shared" si="114"/>
        <v>BE</v>
      </c>
      <c r="T44" s="37">
        <f t="shared" si="105"/>
        <v>300</v>
      </c>
      <c r="U44" s="37">
        <f t="shared" si="106"/>
        <v>300</v>
      </c>
      <c r="V44" s="97">
        <f t="shared" si="107"/>
        <v>0.09</v>
      </c>
      <c r="W44" s="60">
        <v>94.5</v>
      </c>
      <c r="X44" s="60">
        <v>143.1</v>
      </c>
      <c r="Y44" s="61">
        <v>143.1</v>
      </c>
      <c r="Z44" s="102">
        <f t="shared" si="108"/>
        <v>1.3</v>
      </c>
      <c r="AA44" s="112">
        <v>2.7</v>
      </c>
      <c r="AB44" s="113">
        <v>2.8</v>
      </c>
      <c r="AC44" s="114">
        <v>2.8</v>
      </c>
      <c r="AD44" s="112">
        <v>2.1</v>
      </c>
      <c r="AE44" s="113">
        <v>2.1</v>
      </c>
      <c r="AF44" s="114">
        <v>2.1</v>
      </c>
      <c r="AG44" s="61">
        <f t="shared" si="115"/>
        <v>2.1</v>
      </c>
      <c r="AH44" s="61">
        <f t="shared" si="116"/>
        <v>2.1</v>
      </c>
      <c r="AI44" s="102">
        <f t="shared" si="117"/>
        <v>2.1</v>
      </c>
      <c r="AJ44" s="38">
        <f t="shared" si="118"/>
        <v>1.2320999999999999E-2</v>
      </c>
      <c r="AK44" s="38">
        <f t="shared" si="65"/>
        <v>7.7678999999999998E-2</v>
      </c>
      <c r="AL44" s="38">
        <f t="shared" si="66"/>
        <v>0</v>
      </c>
      <c r="AM44" s="38">
        <f t="shared" si="67"/>
        <v>0</v>
      </c>
      <c r="AN44" s="38">
        <f t="shared" si="119"/>
        <v>1.99048</v>
      </c>
      <c r="AO44" s="39">
        <f t="shared" si="109"/>
        <v>0.08</v>
      </c>
      <c r="AP44" s="92">
        <f t="shared" si="120"/>
        <v>0.39466666666666672</v>
      </c>
      <c r="AQ44" s="94">
        <f t="shared" si="110"/>
        <v>1.99048</v>
      </c>
      <c r="AR44" s="1">
        <f t="shared" si="111"/>
        <v>4</v>
      </c>
      <c r="AT44" s="49"/>
      <c r="AU44" s="29"/>
      <c r="AV44" s="29"/>
      <c r="AW44" s="48">
        <f t="shared" si="123"/>
        <v>0</v>
      </c>
      <c r="AX44" s="29"/>
      <c r="AY44" s="29"/>
      <c r="AZ44" s="29"/>
      <c r="BA44" s="50"/>
      <c r="BB44" s="49">
        <v>1200</v>
      </c>
      <c r="BC44" s="29">
        <v>1500</v>
      </c>
      <c r="BD44" s="29">
        <v>3</v>
      </c>
      <c r="BE44" s="48">
        <f t="shared" si="124"/>
        <v>1.8</v>
      </c>
      <c r="BF44" s="29">
        <v>4</v>
      </c>
      <c r="BG44" s="29" t="s">
        <v>100</v>
      </c>
      <c r="BH44" s="29" t="s">
        <v>81</v>
      </c>
      <c r="BI44" s="50">
        <v>5</v>
      </c>
      <c r="BJ44" s="49">
        <v>1350</v>
      </c>
      <c r="BK44" s="29">
        <v>1680</v>
      </c>
      <c r="BL44" s="29">
        <v>3</v>
      </c>
      <c r="BM44" s="48">
        <f t="shared" si="125"/>
        <v>2.2679999999999998</v>
      </c>
      <c r="BN44" s="29">
        <v>3</v>
      </c>
      <c r="BO44" s="29" t="s">
        <v>88</v>
      </c>
      <c r="BP44" s="29" t="s">
        <v>81</v>
      </c>
      <c r="BQ44" s="50">
        <v>5</v>
      </c>
      <c r="BR44" s="49">
        <v>1880</v>
      </c>
      <c r="BS44" s="29">
        <v>2380</v>
      </c>
      <c r="BT44" s="29">
        <v>3</v>
      </c>
      <c r="BU44" s="48">
        <f t="shared" si="73"/>
        <v>4.4744000000000002</v>
      </c>
      <c r="BV44" s="29">
        <v>4</v>
      </c>
      <c r="BW44" s="29" t="s">
        <v>88</v>
      </c>
      <c r="BX44" s="29" t="s">
        <v>81</v>
      </c>
      <c r="BY44" s="50">
        <v>3</v>
      </c>
      <c r="BZ44" s="49">
        <v>1230</v>
      </c>
      <c r="CA44" s="29">
        <v>1480</v>
      </c>
      <c r="CB44" s="29">
        <f t="shared" si="74"/>
        <v>1.8204</v>
      </c>
      <c r="CC44" s="29">
        <v>32</v>
      </c>
      <c r="CD44" s="29">
        <v>29</v>
      </c>
      <c r="CE44" s="29">
        <v>36</v>
      </c>
      <c r="CF44" s="29">
        <v>36</v>
      </c>
      <c r="CG44" s="29">
        <f t="shared" si="75"/>
        <v>4.9439683586025049</v>
      </c>
      <c r="CH44" s="50">
        <f t="shared" si="76"/>
        <v>0</v>
      </c>
      <c r="CI44" s="67">
        <f t="shared" si="121"/>
        <v>300</v>
      </c>
      <c r="CJ44" s="69">
        <f t="shared" si="122"/>
        <v>0.09</v>
      </c>
      <c r="CK44" s="71">
        <f t="shared" si="112"/>
        <v>1</v>
      </c>
      <c r="CL44" s="49" t="str">
        <f t="shared" si="79"/>
        <v>0</v>
      </c>
      <c r="CM44" s="29">
        <f t="shared" si="80"/>
        <v>0</v>
      </c>
      <c r="CN44" s="29" t="str">
        <f t="shared" si="81"/>
        <v>0</v>
      </c>
      <c r="CO44" s="50" t="str">
        <f t="shared" si="82"/>
        <v>0</v>
      </c>
      <c r="CP44" s="195">
        <f t="shared" si="83"/>
        <v>4</v>
      </c>
      <c r="CQ44" s="29">
        <f t="shared" si="84"/>
        <v>1200</v>
      </c>
      <c r="CR44" s="29" t="str">
        <f t="shared" si="85"/>
        <v>C</v>
      </c>
      <c r="CS44" s="194">
        <f t="shared" si="86"/>
        <v>5</v>
      </c>
      <c r="CT44" s="49">
        <f t="shared" si="87"/>
        <v>3</v>
      </c>
      <c r="CU44" s="29">
        <f t="shared" si="88"/>
        <v>9</v>
      </c>
      <c r="CV44" s="29" t="str">
        <f t="shared" si="89"/>
        <v>C</v>
      </c>
      <c r="CW44" s="50">
        <f t="shared" si="90"/>
        <v>5</v>
      </c>
      <c r="CX44" s="49">
        <f t="shared" si="91"/>
        <v>4</v>
      </c>
      <c r="CY44" s="29">
        <f t="shared" si="92"/>
        <v>9</v>
      </c>
      <c r="CZ44" s="29" t="str">
        <f t="shared" si="93"/>
        <v>C</v>
      </c>
      <c r="DA44" s="50">
        <f t="shared" si="94"/>
        <v>3</v>
      </c>
      <c r="DB44" s="49">
        <f t="shared" si="126"/>
        <v>4</v>
      </c>
      <c r="DC44" s="29" t="str">
        <f t="shared" si="127"/>
        <v>E1200</v>
      </c>
      <c r="DD44" s="29" t="str">
        <f>+IF(OR(CN44="C",CR44="C",CV44="C",CZ44="C")=TRUE,"C",IF(OR(CN44="B",CR44="B",CV44="B",CZ44="B")=TRUE,"B",IF(OR(CN44="A",CR44="A",CV44="A",CZ44="A")=TRUE,"A","B")))</f>
        <v>C</v>
      </c>
      <c r="DE44" s="29">
        <f t="shared" si="98"/>
        <v>5</v>
      </c>
      <c r="DF44" s="29">
        <f t="shared" si="99"/>
        <v>36</v>
      </c>
      <c r="DG44" s="47">
        <f t="shared" si="100"/>
        <v>1.99048</v>
      </c>
    </row>
    <row r="45" spans="3:111" hidden="1">
      <c r="C45" s="6" t="s">
        <v>120</v>
      </c>
      <c r="D45" s="12">
        <f>+G36</f>
        <v>1.3</v>
      </c>
      <c r="F45" s="84" t="s">
        <v>121</v>
      </c>
      <c r="G45" s="85" t="str">
        <f>+IF(OR(D32=N46,D32=N47,D32=N48,D32=N49,D32=N53)=TRUE,"NPD",IF(D35="SI","APTE","NPD"))</f>
        <v>NPD</v>
      </c>
      <c r="I45" s="1" t="str">
        <f>+IF(OR(D32=N46,D32=N47,D32=N48,D32=N49,D32=N50)=TRUE,"CORREDISSA",IF(D32=N53,"ELEVABLE",IF(D35="SI","OSCIL·LOBATENT","PRACTICABLE")))</f>
        <v>PRACTICABLE</v>
      </c>
      <c r="K45"/>
      <c r="L45" s="19"/>
      <c r="M45" s="19"/>
      <c r="N45" s="26" t="s">
        <v>119</v>
      </c>
      <c r="O45" s="41">
        <f t="shared" si="101"/>
        <v>1</v>
      </c>
      <c r="P45" s="36">
        <f t="shared" si="102"/>
        <v>0</v>
      </c>
      <c r="Q45" s="36">
        <f t="shared" si="103"/>
        <v>0</v>
      </c>
      <c r="R45" s="37" t="s">
        <v>21</v>
      </c>
      <c r="S45" s="37" t="str">
        <f t="shared" si="114"/>
        <v>BE</v>
      </c>
      <c r="T45" s="37">
        <f t="shared" si="105"/>
        <v>300</v>
      </c>
      <c r="U45" s="37">
        <f t="shared" si="106"/>
        <v>300</v>
      </c>
      <c r="V45" s="97">
        <f t="shared" si="107"/>
        <v>0.09</v>
      </c>
      <c r="W45" s="60">
        <v>98.1</v>
      </c>
      <c r="X45" s="60">
        <v>160.4</v>
      </c>
      <c r="Y45" s="61">
        <v>160.4</v>
      </c>
      <c r="Z45" s="102">
        <f t="shared" si="108"/>
        <v>1.3</v>
      </c>
      <c r="AA45" s="112">
        <v>2.7</v>
      </c>
      <c r="AB45" s="113">
        <v>2.8</v>
      </c>
      <c r="AC45" s="114">
        <v>2.8</v>
      </c>
      <c r="AD45" s="112">
        <v>2.5</v>
      </c>
      <c r="AE45" s="113">
        <v>2.5</v>
      </c>
      <c r="AF45" s="114">
        <v>2.5</v>
      </c>
      <c r="AG45" s="61">
        <f t="shared" si="115"/>
        <v>2.5</v>
      </c>
      <c r="AH45" s="61">
        <f t="shared" si="116"/>
        <v>2.5</v>
      </c>
      <c r="AI45" s="102">
        <f t="shared" si="117"/>
        <v>2.5</v>
      </c>
      <c r="AJ45" s="38">
        <f t="shared" si="118"/>
        <v>1.0774439999999996E-2</v>
      </c>
      <c r="AK45" s="38">
        <f t="shared" si="65"/>
        <v>7.922556E-2</v>
      </c>
      <c r="AL45" s="38">
        <f t="shared" si="66"/>
        <v>0</v>
      </c>
      <c r="AM45" s="38">
        <f t="shared" si="67"/>
        <v>0</v>
      </c>
      <c r="AN45" s="38">
        <f t="shared" si="119"/>
        <v>2.3563408000000003</v>
      </c>
      <c r="AO45" s="39">
        <f>+IF(R45="NO",0,IF(S45="BE",0.08,0.06))</f>
        <v>0.08</v>
      </c>
      <c r="AP45" s="92">
        <f t="shared" si="120"/>
        <v>0.36906666666666677</v>
      </c>
      <c r="AQ45" s="94">
        <f t="shared" si="110"/>
        <v>2.3563408000000003</v>
      </c>
      <c r="AR45" s="1">
        <f t="shared" si="111"/>
        <v>4</v>
      </c>
      <c r="AT45" s="49"/>
      <c r="AU45" s="29"/>
      <c r="AV45" s="29"/>
      <c r="AW45" s="48">
        <f t="shared" si="123"/>
        <v>0</v>
      </c>
      <c r="AX45" s="29"/>
      <c r="AY45" s="29"/>
      <c r="AZ45" s="29"/>
      <c r="BA45" s="50"/>
      <c r="BB45" s="49"/>
      <c r="BC45" s="29"/>
      <c r="BD45" s="29"/>
      <c r="BE45" s="48">
        <f t="shared" si="124"/>
        <v>0</v>
      </c>
      <c r="BF45" s="29"/>
      <c r="BG45" s="29"/>
      <c r="BH45" s="29"/>
      <c r="BI45" s="50"/>
      <c r="BJ45" s="49">
        <v>1250</v>
      </c>
      <c r="BK45" s="29">
        <v>1500</v>
      </c>
      <c r="BL45" s="29">
        <v>3</v>
      </c>
      <c r="BM45" s="48">
        <f t="shared" si="125"/>
        <v>1.875</v>
      </c>
      <c r="BN45" s="29">
        <v>4</v>
      </c>
      <c r="BO45" s="29" t="s">
        <v>93</v>
      </c>
      <c r="BP45" s="29" t="s">
        <v>81</v>
      </c>
      <c r="BQ45" s="50">
        <v>5</v>
      </c>
      <c r="BR45" s="49">
        <v>1900</v>
      </c>
      <c r="BS45" s="29">
        <v>2380</v>
      </c>
      <c r="BT45" s="29">
        <v>3</v>
      </c>
      <c r="BU45" s="48">
        <f t="shared" si="73"/>
        <v>4.5220000000000002</v>
      </c>
      <c r="BV45" s="29">
        <v>4</v>
      </c>
      <c r="BW45" s="29" t="s">
        <v>88</v>
      </c>
      <c r="BX45" s="29" t="s">
        <v>81</v>
      </c>
      <c r="BY45" s="50">
        <v>4</v>
      </c>
      <c r="BZ45" s="49">
        <v>1230</v>
      </c>
      <c r="CA45" s="29">
        <v>1480</v>
      </c>
      <c r="CB45" s="29">
        <f t="shared" si="74"/>
        <v>1.8204</v>
      </c>
      <c r="CC45" s="29">
        <v>32</v>
      </c>
      <c r="CD45" s="29">
        <v>29</v>
      </c>
      <c r="CE45" s="29">
        <v>36</v>
      </c>
      <c r="CF45" s="29">
        <v>36</v>
      </c>
      <c r="CG45" s="29">
        <f t="shared" si="75"/>
        <v>4.9439683586025049</v>
      </c>
      <c r="CH45" s="50">
        <f t="shared" si="76"/>
        <v>0</v>
      </c>
      <c r="CI45" s="67">
        <f t="shared" si="121"/>
        <v>300</v>
      </c>
      <c r="CJ45" s="69">
        <f t="shared" si="122"/>
        <v>0.09</v>
      </c>
      <c r="CK45" s="71">
        <f t="shared" si="112"/>
        <v>1</v>
      </c>
      <c r="CL45" s="49" t="str">
        <f t="shared" si="79"/>
        <v>0</v>
      </c>
      <c r="CM45" s="29">
        <f t="shared" si="80"/>
        <v>0</v>
      </c>
      <c r="CN45" s="29" t="str">
        <f t="shared" si="81"/>
        <v>0</v>
      </c>
      <c r="CO45" s="50" t="str">
        <f t="shared" si="82"/>
        <v>0</v>
      </c>
      <c r="CP45" s="195" t="str">
        <f t="shared" si="83"/>
        <v>0</v>
      </c>
      <c r="CQ45" s="29">
        <f t="shared" si="84"/>
        <v>0</v>
      </c>
      <c r="CR45" s="29" t="str">
        <f t="shared" si="85"/>
        <v>0</v>
      </c>
      <c r="CS45" s="194" t="str">
        <f t="shared" si="86"/>
        <v>0</v>
      </c>
      <c r="CT45" s="49">
        <f t="shared" si="87"/>
        <v>4</v>
      </c>
      <c r="CU45" s="29">
        <f t="shared" si="88"/>
        <v>6</v>
      </c>
      <c r="CV45" s="29" t="str">
        <f t="shared" si="89"/>
        <v>C</v>
      </c>
      <c r="CW45" s="50">
        <f t="shared" si="90"/>
        <v>5</v>
      </c>
      <c r="CX45" s="49">
        <f t="shared" si="91"/>
        <v>4</v>
      </c>
      <c r="CY45" s="29">
        <f t="shared" si="92"/>
        <v>9</v>
      </c>
      <c r="CZ45" s="29" t="str">
        <f t="shared" si="93"/>
        <v>C</v>
      </c>
      <c r="DA45" s="50">
        <f t="shared" si="94"/>
        <v>4</v>
      </c>
      <c r="DB45" s="49">
        <f t="shared" si="126"/>
        <v>4</v>
      </c>
      <c r="DC45" s="29" t="str">
        <f t="shared" si="127"/>
        <v>9A</v>
      </c>
      <c r="DD45" s="29" t="str">
        <f>+IF(OR(CN45="C",CR45="C",CV45="C",CZ45="C")=TRUE,"C",IF(OR(CN45="B",CR45="B",CV45="B",CZ45="B")=TRUE,"B",IF(OR(CN45="A",CR45="A",CV45="A",CZ45="A")=TRUE,"A","B")))</f>
        <v>C</v>
      </c>
      <c r="DE45" s="29">
        <f t="shared" si="98"/>
        <v>5</v>
      </c>
      <c r="DF45" s="29">
        <f t="shared" si="99"/>
        <v>36</v>
      </c>
      <c r="DG45" s="47">
        <f t="shared" si="100"/>
        <v>2.3563408000000003</v>
      </c>
    </row>
    <row r="46" spans="3:111" ht="15" hidden="1" thickBot="1">
      <c r="C46" s="8" t="s">
        <v>123</v>
      </c>
      <c r="D46" s="21">
        <f>+G35</f>
        <v>37</v>
      </c>
      <c r="F46" s="84" t="s">
        <v>124</v>
      </c>
      <c r="G46" s="85">
        <f>+VLOOKUP(D32,N32:DG53,97,FALSE)</f>
        <v>37</v>
      </c>
      <c r="I46"/>
      <c r="K46"/>
      <c r="L46" s="19"/>
      <c r="M46" s="19"/>
      <c r="N46" s="26" t="s">
        <v>122</v>
      </c>
      <c r="O46" s="41">
        <f t="shared" si="101"/>
        <v>1</v>
      </c>
      <c r="P46" s="36">
        <f t="shared" si="102"/>
        <v>0</v>
      </c>
      <c r="Q46" s="36">
        <f t="shared" si="103"/>
        <v>0</v>
      </c>
      <c r="R46" s="37" t="s">
        <v>23</v>
      </c>
      <c r="S46" s="37" t="str">
        <f t="shared" si="114"/>
        <v>BE</v>
      </c>
      <c r="T46" s="37">
        <f t="shared" si="105"/>
        <v>300</v>
      </c>
      <c r="U46" s="37">
        <f t="shared" si="106"/>
        <v>300</v>
      </c>
      <c r="V46" s="97">
        <f t="shared" si="107"/>
        <v>0.09</v>
      </c>
      <c r="W46" s="37">
        <v>93.6</v>
      </c>
      <c r="X46" s="37">
        <v>62.9</v>
      </c>
      <c r="Y46" s="37"/>
      <c r="Z46" s="102">
        <f t="shared" si="108"/>
        <v>1.3</v>
      </c>
      <c r="AA46" s="110">
        <v>6.7</v>
      </c>
      <c r="AB46" s="56">
        <v>6.8</v>
      </c>
      <c r="AC46" s="111"/>
      <c r="AD46" s="110">
        <v>6.7</v>
      </c>
      <c r="AE46" s="56">
        <v>6.8</v>
      </c>
      <c r="AF46" s="111"/>
      <c r="AG46" s="105">
        <f t="shared" si="115"/>
        <v>6.7</v>
      </c>
      <c r="AH46" s="37">
        <f t="shared" si="116"/>
        <v>6.8</v>
      </c>
      <c r="AI46" s="102">
        <f t="shared" si="117"/>
        <v>0</v>
      </c>
      <c r="AJ46" s="38">
        <f t="shared" si="118"/>
        <v>1.2723839999999986E-2</v>
      </c>
      <c r="AK46" s="38">
        <f t="shared" si="65"/>
        <v>7.727616000000001E-2</v>
      </c>
      <c r="AL46" s="38">
        <f t="shared" si="66"/>
        <v>0</v>
      </c>
      <c r="AM46" s="38">
        <f t="shared" si="67"/>
        <v>0</v>
      </c>
      <c r="AN46" s="38">
        <f t="shared" si="119"/>
        <v>5.9365696000000021</v>
      </c>
      <c r="AO46" s="39">
        <f t="shared" si="109"/>
        <v>0</v>
      </c>
      <c r="AP46" s="92">
        <f t="shared" si="120"/>
        <v>0</v>
      </c>
      <c r="AQ46" s="94">
        <f t="shared" si="110"/>
        <v>5.9365696000000021</v>
      </c>
      <c r="AR46" s="1">
        <f t="shared" si="111"/>
        <v>4</v>
      </c>
      <c r="AT46" s="49"/>
      <c r="AU46" s="29"/>
      <c r="AV46" s="29"/>
      <c r="AW46" s="48">
        <f t="shared" si="123"/>
        <v>0</v>
      </c>
      <c r="AX46" s="29"/>
      <c r="AY46" s="29"/>
      <c r="AZ46" s="29"/>
      <c r="BA46" s="50"/>
      <c r="BB46" s="49"/>
      <c r="BC46" s="29"/>
      <c r="BD46" s="29"/>
      <c r="BE46" s="48">
        <f t="shared" si="124"/>
        <v>0</v>
      </c>
      <c r="BF46" s="29"/>
      <c r="BG46" s="29"/>
      <c r="BH46" s="29"/>
      <c r="BI46" s="50"/>
      <c r="BJ46" s="49">
        <v>2900</v>
      </c>
      <c r="BK46" s="29">
        <v>2300</v>
      </c>
      <c r="BL46" s="29">
        <v>4</v>
      </c>
      <c r="BM46" s="48">
        <f t="shared" si="125"/>
        <v>6.67</v>
      </c>
      <c r="BN46" s="29">
        <v>4</v>
      </c>
      <c r="BO46" s="29" t="s">
        <v>82</v>
      </c>
      <c r="BP46" s="29" t="s">
        <v>81</v>
      </c>
      <c r="BQ46" s="50">
        <v>2</v>
      </c>
      <c r="BR46" s="49">
        <v>1600</v>
      </c>
      <c r="BS46" s="29">
        <v>2100</v>
      </c>
      <c r="BT46" s="29">
        <v>2</v>
      </c>
      <c r="BU46" s="48">
        <f t="shared" si="73"/>
        <v>3.36</v>
      </c>
      <c r="BV46" s="29">
        <v>4</v>
      </c>
      <c r="BW46" s="29" t="s">
        <v>100</v>
      </c>
      <c r="BX46" s="29" t="s">
        <v>81</v>
      </c>
      <c r="BY46" s="50">
        <v>4</v>
      </c>
      <c r="BZ46" s="49">
        <v>1400</v>
      </c>
      <c r="CA46" s="29">
        <v>1500</v>
      </c>
      <c r="CB46" s="29">
        <f t="shared" si="74"/>
        <v>2.1</v>
      </c>
      <c r="CC46" s="29">
        <v>33</v>
      </c>
      <c r="CD46" s="29">
        <v>29</v>
      </c>
      <c r="CE46" s="29">
        <v>37</v>
      </c>
      <c r="CF46" s="29">
        <v>33</v>
      </c>
      <c r="CG46" s="29">
        <f t="shared" si="75"/>
        <v>4.2857142857142847</v>
      </c>
      <c r="CH46" s="50">
        <f t="shared" si="76"/>
        <v>0</v>
      </c>
      <c r="CI46" s="67">
        <f t="shared" si="121"/>
        <v>300</v>
      </c>
      <c r="CJ46" s="69">
        <f t="shared" si="122"/>
        <v>0.09</v>
      </c>
      <c r="CK46" s="71">
        <v>2</v>
      </c>
      <c r="CL46" s="49" t="str">
        <f t="shared" si="79"/>
        <v>0</v>
      </c>
      <c r="CM46" s="29">
        <f t="shared" si="80"/>
        <v>0</v>
      </c>
      <c r="CN46" s="29" t="str">
        <f t="shared" si="81"/>
        <v>0</v>
      </c>
      <c r="CO46" s="50" t="str">
        <f t="shared" si="82"/>
        <v>0</v>
      </c>
      <c r="CP46" s="195" t="str">
        <f t="shared" si="83"/>
        <v>0</v>
      </c>
      <c r="CQ46" s="29">
        <f t="shared" si="84"/>
        <v>0</v>
      </c>
      <c r="CR46" s="29" t="str">
        <f t="shared" si="85"/>
        <v>0</v>
      </c>
      <c r="CS46" s="194" t="str">
        <f t="shared" si="86"/>
        <v>0</v>
      </c>
      <c r="CT46" s="49">
        <f t="shared" si="87"/>
        <v>4</v>
      </c>
      <c r="CU46" s="29">
        <f t="shared" si="88"/>
        <v>7</v>
      </c>
      <c r="CV46" s="29" t="str">
        <f t="shared" si="89"/>
        <v>C</v>
      </c>
      <c r="CW46" s="50">
        <f t="shared" si="90"/>
        <v>2</v>
      </c>
      <c r="CX46" s="49">
        <f t="shared" si="91"/>
        <v>4</v>
      </c>
      <c r="CY46" s="29">
        <f t="shared" si="92"/>
        <v>1200</v>
      </c>
      <c r="CZ46" s="29" t="str">
        <f t="shared" si="93"/>
        <v>C</v>
      </c>
      <c r="DA46" s="50">
        <f t="shared" si="94"/>
        <v>4</v>
      </c>
      <c r="DB46" s="49">
        <f t="shared" si="126"/>
        <v>4</v>
      </c>
      <c r="DC46" s="29" t="str">
        <f t="shared" si="127"/>
        <v>E1200</v>
      </c>
      <c r="DD46" s="29" t="str">
        <f>+IF(OR(CN46="C",CR46="C",CV46="C",CZ46="C")=TRUE,"C",IF(OR(CN46="B",CR46="B",CV46="B",CZ46="B")=TRUE,"B",IF(OR(CN46="A",CR46="A",CV46="A",CZ46="A")=TRUE,"A","B")))</f>
        <v>C</v>
      </c>
      <c r="DE46" s="29">
        <f t="shared" si="98"/>
        <v>4</v>
      </c>
      <c r="DF46" s="29">
        <f t="shared" si="99"/>
        <v>37</v>
      </c>
      <c r="DG46" s="47">
        <f t="shared" si="100"/>
        <v>5.9365696000000021</v>
      </c>
    </row>
    <row r="47" spans="3:111" hidden="1">
      <c r="F47" s="84" t="s">
        <v>127</v>
      </c>
      <c r="G47" s="86">
        <f>+VLOOKUP(D32,N32:DG53,98,FALSE)</f>
        <v>2.3297466666666664</v>
      </c>
      <c r="I47"/>
      <c r="K47"/>
      <c r="L47" s="19"/>
      <c r="M47" s="19"/>
      <c r="N47" s="26" t="s">
        <v>125</v>
      </c>
      <c r="O47" s="41">
        <f t="shared" si="101"/>
        <v>1</v>
      </c>
      <c r="P47" s="36">
        <f t="shared" si="102"/>
        <v>0</v>
      </c>
      <c r="Q47" s="36">
        <f t="shared" si="103"/>
        <v>0</v>
      </c>
      <c r="R47" s="37" t="s">
        <v>23</v>
      </c>
      <c r="S47" s="37" t="str">
        <f t="shared" si="114"/>
        <v>BE</v>
      </c>
      <c r="T47" s="37">
        <f t="shared" si="105"/>
        <v>300</v>
      </c>
      <c r="U47" s="37">
        <f t="shared" si="106"/>
        <v>300</v>
      </c>
      <c r="V47" s="97">
        <f t="shared" si="107"/>
        <v>0.09</v>
      </c>
      <c r="W47" s="37">
        <v>98.4</v>
      </c>
      <c r="X47" s="37">
        <v>67.400000000000006</v>
      </c>
      <c r="Y47" s="37">
        <v>140.5</v>
      </c>
      <c r="Z47" s="102">
        <f t="shared" si="108"/>
        <v>1.3</v>
      </c>
      <c r="AA47" s="110">
        <v>6.6</v>
      </c>
      <c r="AB47" s="56">
        <v>8.1</v>
      </c>
      <c r="AC47" s="111">
        <v>7</v>
      </c>
      <c r="AD47" s="110">
        <v>6.6</v>
      </c>
      <c r="AE47" s="56">
        <v>8.1</v>
      </c>
      <c r="AF47" s="111">
        <v>7</v>
      </c>
      <c r="AG47" s="105">
        <f t="shared" si="115"/>
        <v>6.6</v>
      </c>
      <c r="AH47" s="37">
        <f t="shared" si="116"/>
        <v>8.1</v>
      </c>
      <c r="AI47" s="102">
        <f t="shared" si="117"/>
        <v>7</v>
      </c>
      <c r="AJ47" s="38">
        <f t="shared" si="118"/>
        <v>1.0650239999999991E-2</v>
      </c>
      <c r="AK47" s="38">
        <f t="shared" si="65"/>
        <v>7.9349760000000005E-2</v>
      </c>
      <c r="AL47" s="38">
        <f t="shared" si="66"/>
        <v>0</v>
      </c>
      <c r="AM47" s="38">
        <f t="shared" si="67"/>
        <v>0</v>
      </c>
      <c r="AN47" s="38">
        <f t="shared" si="119"/>
        <v>5.9728191999999991</v>
      </c>
      <c r="AO47" s="39">
        <f t="shared" si="109"/>
        <v>0</v>
      </c>
      <c r="AP47" s="92">
        <f t="shared" si="120"/>
        <v>0</v>
      </c>
      <c r="AQ47" s="94">
        <f t="shared" si="110"/>
        <v>5.9728191999999991</v>
      </c>
      <c r="AR47" s="1">
        <f t="shared" si="111"/>
        <v>3</v>
      </c>
      <c r="AT47" s="49"/>
      <c r="AU47" s="29"/>
      <c r="AV47" s="29"/>
      <c r="AW47" s="48">
        <f t="shared" si="123"/>
        <v>0</v>
      </c>
      <c r="AX47" s="29"/>
      <c r="AY47" s="29"/>
      <c r="AZ47" s="29"/>
      <c r="BA47" s="50"/>
      <c r="BB47" s="49"/>
      <c r="BC47" s="29"/>
      <c r="BD47" s="29"/>
      <c r="BE47" s="48">
        <f t="shared" si="124"/>
        <v>0</v>
      </c>
      <c r="BF47" s="29"/>
      <c r="BG47" s="29"/>
      <c r="BH47" s="29"/>
      <c r="BI47" s="50"/>
      <c r="BJ47" s="49"/>
      <c r="BK47" s="29"/>
      <c r="BL47" s="29"/>
      <c r="BM47" s="48">
        <f t="shared" si="125"/>
        <v>0</v>
      </c>
      <c r="BN47" s="29"/>
      <c r="BO47" s="29"/>
      <c r="BP47" s="29"/>
      <c r="BQ47" s="50"/>
      <c r="BR47" s="49">
        <v>2000</v>
      </c>
      <c r="BS47" s="29">
        <v>1500</v>
      </c>
      <c r="BT47" s="29">
        <v>2</v>
      </c>
      <c r="BU47" s="48">
        <f t="shared" ref="BU47:BU53" si="128">+BR47*BS47/1000000</f>
        <v>3</v>
      </c>
      <c r="BV47" s="29">
        <v>3</v>
      </c>
      <c r="BW47" s="29" t="s">
        <v>126</v>
      </c>
      <c r="BX47" s="29" t="s">
        <v>81</v>
      </c>
      <c r="BY47" s="50">
        <v>1</v>
      </c>
      <c r="BZ47" s="49">
        <v>1230</v>
      </c>
      <c r="CA47" s="29">
        <v>1480</v>
      </c>
      <c r="CB47" s="29">
        <f t="shared" ref="CB47:CB53" si="129">+BZ47*CA47/1000000</f>
        <v>1.8204</v>
      </c>
      <c r="CC47" s="29">
        <v>33</v>
      </c>
      <c r="CD47" s="29">
        <v>29</v>
      </c>
      <c r="CE47" s="29">
        <v>34</v>
      </c>
      <c r="CF47" s="29">
        <v>33</v>
      </c>
      <c r="CG47" s="29">
        <f t="shared" ref="CG47:CG53" si="130">+V47/CB47*100</f>
        <v>4.9439683586025049</v>
      </c>
      <c r="CH47" s="50">
        <f t="shared" ref="CH47:CH53" si="131">+IF(CG47&lt;150,0,IF(CG47&lt;200,1,IF(CG47&lt;250,2,3)))</f>
        <v>0</v>
      </c>
      <c r="CI47" s="67">
        <f t="shared" si="121"/>
        <v>300</v>
      </c>
      <c r="CJ47" s="69">
        <f t="shared" si="122"/>
        <v>0.09</v>
      </c>
      <c r="CK47" s="71">
        <f t="shared" si="112"/>
        <v>1</v>
      </c>
      <c r="CL47" s="49" t="str">
        <f t="shared" ref="CL47:CL53" si="132">+IF(OR(CJ47&gt;AW47*1.5,CK47&gt;AV47)=TRUE,"0",AX47)</f>
        <v>0</v>
      </c>
      <c r="CM47" s="29">
        <f t="shared" ref="CM47:CM53" si="133">VALUE(IF(OR(CJ47&gt;AW47*1.5,CK47&gt;AV47)=TRUE,"0",IF(LEN(AY47)=2,MID(AY47,1,1),MID(AY47,2,4))))</f>
        <v>0</v>
      </c>
      <c r="CN47" s="29" t="str">
        <f t="shared" ref="CN47:CN53" si="134">+IF(OR(CI47&gt;AU47,CJ47&gt;AW47,CK47&gt;AV47)=TRUE,"0",AZ47)</f>
        <v>0</v>
      </c>
      <c r="CO47" s="50" t="str">
        <f t="shared" ref="CO47:CO53" si="135">+IF(OR(CI47&gt;AU47,CJ47&gt;AW47,CK47&gt;AV47)=TRUE,"0",BA47)</f>
        <v>0</v>
      </c>
      <c r="CP47" s="195" t="str">
        <f t="shared" ref="CP47:CP53" si="136">+IF(OR(CJ47&gt;BE47*1.5,CK47&gt;BD47)=TRUE,"0",BF47)</f>
        <v>0</v>
      </c>
      <c r="CQ47" s="29">
        <f t="shared" ref="CQ47:CQ53" si="137">VALUE(IF(OR(CJ47&gt;BE47*1.5,CK47&gt;BD47)=TRUE,"0",IF(LEN(BG47)=2,MID(BG47,1,1),MID(BG47,2,4))))</f>
        <v>0</v>
      </c>
      <c r="CR47" s="29" t="str">
        <f t="shared" ref="CR47:CR53" si="138">+IF(OR(CI47&gt;BC47,CJ47&gt;BE47,CK47&gt;BD47)=TRUE,"0",BH47)</f>
        <v>0</v>
      </c>
      <c r="CS47" s="194" t="str">
        <f t="shared" ref="CS47:CS53" si="139">+IF(OR(CI47&gt;BC47,CJ47&gt;BE47,CK47&gt;BD47)=TRUE,"0",BI47)</f>
        <v>0</v>
      </c>
      <c r="CT47" s="49" t="str">
        <f t="shared" ref="CT47:CT53" si="140">+IF(OR(CJ47&gt;BM47*1.5,CK47&gt;BL47)=TRUE,"0",BN47)</f>
        <v>0</v>
      </c>
      <c r="CU47" s="29">
        <f t="shared" ref="CU47:CU53" si="141">VALUE(IF(OR(CJ47&gt;BM47*1.5,CK47&gt;BL47)=TRUE,"0",IF(LEN(BO47)=2,MID(BO47,1,1),MID(BO47,2,4))))</f>
        <v>0</v>
      </c>
      <c r="CV47" s="29" t="str">
        <f t="shared" ref="CV47:CV53" si="142">+IF(OR(CI47&gt;BK47,CJ47&gt;BM47,CK47&gt;BL47)=TRUE,"0",BP47)</f>
        <v>0</v>
      </c>
      <c r="CW47" s="50" t="str">
        <f t="shared" ref="CW47:CW53" si="143">+IF(OR(CI47&gt;BK47,CJ47&gt;BM47,CK47&gt;BL47)=TRUE,"0",BQ47)</f>
        <v>0</v>
      </c>
      <c r="CX47" s="49">
        <f t="shared" ref="CX47:CX53" si="144">+IF(OR(CJ47&gt;BU47*1.5,CK47&gt;BT47)=TRUE,"0",BV47)</f>
        <v>3</v>
      </c>
      <c r="CY47" s="29">
        <f t="shared" ref="CY47:CY53" si="145">VALUE(IF(OR(CJ47&gt;BU47*1.5,CK47&gt;BT47)=TRUE,"0",IF(LEN(BW47)=2,MID(BW47,1,1),MID(BW47,2,4))))</f>
        <v>4</v>
      </c>
      <c r="CZ47" s="29" t="str">
        <f t="shared" ref="CZ47:CZ53" si="146">+IF(OR(CI47&gt;BS47,CJ47&gt;BU47,CK47&gt;BT47)=TRUE,"0",BX47)</f>
        <v>C</v>
      </c>
      <c r="DA47" s="50">
        <f t="shared" ref="DA47:DA53" si="147">+IF(OR(CI47&gt;BS47,CJ47&gt;BU47,CK47&gt;BT47)=TRUE,"0",BY47)</f>
        <v>1</v>
      </c>
      <c r="DB47" s="49">
        <f t="shared" si="126"/>
        <v>3</v>
      </c>
      <c r="DC47" s="29" t="str">
        <f t="shared" si="127"/>
        <v>4A</v>
      </c>
      <c r="DD47" s="29" t="str">
        <f t="shared" ref="DD47:DD53" si="148">+IF(OR(CN47="C",CR47="C",CV47="C",CZ47="C")=TRUE,"C",IF(OR(CN47="B",CR47="B",CV47="B",CZ47="B")=TRUE,"B",IF(OR(CN47="A",CR47="A",CV47="A",CZ47="A")=TRUE,"A","A")))</f>
        <v>C</v>
      </c>
      <c r="DE47" s="29">
        <f t="shared" si="98"/>
        <v>1</v>
      </c>
      <c r="DF47" s="29">
        <f t="shared" ref="DF47:DF53" si="149">+IF(D$22&lt;CD47,"NPD",IF(D$22&lt;CF47,CC47-CH47,CE47-CH47))</f>
        <v>34</v>
      </c>
      <c r="DG47" s="47">
        <f t="shared" ref="DG47:DG53" si="150">+AN47</f>
        <v>5.9728191999999991</v>
      </c>
    </row>
    <row r="48" spans="3:111" ht="15" hidden="1" thickBot="1">
      <c r="F48" s="87" t="s">
        <v>131</v>
      </c>
      <c r="G48" s="88">
        <f>+VLOOKUP(D32,N32:DG53,93,FALSE)</f>
        <v>4</v>
      </c>
      <c r="I48"/>
      <c r="J48"/>
      <c r="K48"/>
      <c r="L48" s="19"/>
      <c r="M48" s="19"/>
      <c r="N48" s="26" t="s">
        <v>128</v>
      </c>
      <c r="O48" s="41">
        <f t="shared" si="101"/>
        <v>1</v>
      </c>
      <c r="P48" s="36">
        <f t="shared" si="102"/>
        <v>0</v>
      </c>
      <c r="Q48" s="36">
        <f t="shared" si="103"/>
        <v>0</v>
      </c>
      <c r="R48" s="37" t="s">
        <v>21</v>
      </c>
      <c r="S48" s="37" t="str">
        <f t="shared" si="114"/>
        <v>BE</v>
      </c>
      <c r="T48" s="37">
        <f t="shared" si="105"/>
        <v>300</v>
      </c>
      <c r="U48" s="37">
        <f t="shared" si="106"/>
        <v>300</v>
      </c>
      <c r="V48" s="97">
        <f t="shared" si="107"/>
        <v>0.09</v>
      </c>
      <c r="W48" s="37">
        <v>113.1</v>
      </c>
      <c r="X48" s="37">
        <v>83.5</v>
      </c>
      <c r="Y48" s="37">
        <v>155.30000000000001</v>
      </c>
      <c r="Z48" s="102">
        <f t="shared" si="108"/>
        <v>1.3</v>
      </c>
      <c r="AA48" s="110">
        <v>3.6</v>
      </c>
      <c r="AB48" s="56">
        <v>5.3</v>
      </c>
      <c r="AC48" s="111">
        <v>3</v>
      </c>
      <c r="AD48" s="110">
        <v>3.6</v>
      </c>
      <c r="AE48" s="56">
        <v>5.3</v>
      </c>
      <c r="AF48" s="111">
        <v>3</v>
      </c>
      <c r="AG48" s="105">
        <f t="shared" si="115"/>
        <v>3.6</v>
      </c>
      <c r="AH48" s="37">
        <f t="shared" si="116"/>
        <v>5.3</v>
      </c>
      <c r="AI48" s="102">
        <f t="shared" si="117"/>
        <v>3</v>
      </c>
      <c r="AJ48" s="38">
        <f t="shared" si="118"/>
        <v>5.4464399999999968E-3</v>
      </c>
      <c r="AK48" s="38">
        <f t="shared" si="65"/>
        <v>8.455356E-2</v>
      </c>
      <c r="AL48" s="38">
        <f t="shared" si="66"/>
        <v>0</v>
      </c>
      <c r="AM48" s="38">
        <f t="shared" si="67"/>
        <v>0</v>
      </c>
      <c r="AN48" s="38">
        <f t="shared" si="119"/>
        <v>3.4608132000000005</v>
      </c>
      <c r="AO48" s="39">
        <f t="shared" si="109"/>
        <v>0.08</v>
      </c>
      <c r="AP48" s="92">
        <f t="shared" si="120"/>
        <v>0.26240000000000002</v>
      </c>
      <c r="AQ48" s="94">
        <f t="shared" si="110"/>
        <v>3.4608132000000005</v>
      </c>
      <c r="AR48" s="1">
        <f t="shared" si="111"/>
        <v>4</v>
      </c>
      <c r="AT48" s="49">
        <v>2000</v>
      </c>
      <c r="AU48" s="29">
        <v>1500</v>
      </c>
      <c r="AV48" s="29">
        <v>2</v>
      </c>
      <c r="AW48" s="48">
        <f t="shared" si="123"/>
        <v>3</v>
      </c>
      <c r="AX48" s="29">
        <v>4</v>
      </c>
      <c r="AY48" s="29" t="s">
        <v>82</v>
      </c>
      <c r="AZ48" s="29" t="s">
        <v>81</v>
      </c>
      <c r="BA48" s="50">
        <v>2</v>
      </c>
      <c r="BB48" s="49">
        <v>2900</v>
      </c>
      <c r="BC48" s="29">
        <v>2100</v>
      </c>
      <c r="BD48" s="29">
        <v>3</v>
      </c>
      <c r="BE48" s="48">
        <f t="shared" si="124"/>
        <v>6.09</v>
      </c>
      <c r="BF48" s="29">
        <v>4</v>
      </c>
      <c r="BG48" s="29" t="s">
        <v>129</v>
      </c>
      <c r="BH48" s="29" t="s">
        <v>81</v>
      </c>
      <c r="BI48" s="50">
        <v>1</v>
      </c>
      <c r="BJ48" s="49">
        <v>2900</v>
      </c>
      <c r="BK48" s="29">
        <v>2100</v>
      </c>
      <c r="BL48" s="29">
        <v>4</v>
      </c>
      <c r="BM48" s="48">
        <f t="shared" si="125"/>
        <v>6.09</v>
      </c>
      <c r="BN48" s="29">
        <v>4</v>
      </c>
      <c r="BO48" s="29" t="s">
        <v>126</v>
      </c>
      <c r="BP48" s="29" t="s">
        <v>81</v>
      </c>
      <c r="BQ48" s="50">
        <v>1</v>
      </c>
      <c r="BR48" s="49">
        <v>2900</v>
      </c>
      <c r="BS48" s="29">
        <v>2300</v>
      </c>
      <c r="BT48" s="29">
        <v>2</v>
      </c>
      <c r="BU48" s="48">
        <f t="shared" si="128"/>
        <v>6.67</v>
      </c>
      <c r="BV48" s="29">
        <v>4</v>
      </c>
      <c r="BW48" s="29" t="s">
        <v>126</v>
      </c>
      <c r="BX48" s="29" t="s">
        <v>130</v>
      </c>
      <c r="BY48" s="50">
        <v>1</v>
      </c>
      <c r="BZ48" s="49">
        <v>1230</v>
      </c>
      <c r="CA48" s="29">
        <v>1480</v>
      </c>
      <c r="CB48" s="29">
        <f t="shared" si="129"/>
        <v>1.8204</v>
      </c>
      <c r="CC48" s="29">
        <v>31</v>
      </c>
      <c r="CD48" s="29">
        <v>29</v>
      </c>
      <c r="CE48" s="29">
        <v>33</v>
      </c>
      <c r="CF48" s="29">
        <v>33</v>
      </c>
      <c r="CG48" s="29">
        <f t="shared" si="130"/>
        <v>4.9439683586025049</v>
      </c>
      <c r="CH48" s="50">
        <f t="shared" si="131"/>
        <v>0</v>
      </c>
      <c r="CI48" s="67">
        <f t="shared" si="121"/>
        <v>300</v>
      </c>
      <c r="CJ48" s="69">
        <f t="shared" si="122"/>
        <v>0.09</v>
      </c>
      <c r="CK48" s="71">
        <f t="shared" si="112"/>
        <v>1</v>
      </c>
      <c r="CL48" s="49">
        <f t="shared" si="132"/>
        <v>4</v>
      </c>
      <c r="CM48" s="29">
        <f t="shared" si="133"/>
        <v>7</v>
      </c>
      <c r="CN48" s="29" t="str">
        <f t="shared" si="134"/>
        <v>C</v>
      </c>
      <c r="CO48" s="50">
        <f t="shared" si="135"/>
        <v>2</v>
      </c>
      <c r="CP48" s="195">
        <f t="shared" si="136"/>
        <v>4</v>
      </c>
      <c r="CQ48" s="29">
        <f t="shared" si="137"/>
        <v>5</v>
      </c>
      <c r="CR48" s="29" t="str">
        <f t="shared" si="138"/>
        <v>C</v>
      </c>
      <c r="CS48" s="194">
        <f t="shared" si="139"/>
        <v>1</v>
      </c>
      <c r="CT48" s="49">
        <f t="shared" si="140"/>
        <v>4</v>
      </c>
      <c r="CU48" s="29">
        <f t="shared" si="141"/>
        <v>4</v>
      </c>
      <c r="CV48" s="29" t="str">
        <f t="shared" si="142"/>
        <v>C</v>
      </c>
      <c r="CW48" s="50">
        <f t="shared" si="143"/>
        <v>1</v>
      </c>
      <c r="CX48" s="49">
        <f t="shared" si="144"/>
        <v>4</v>
      </c>
      <c r="CY48" s="29">
        <f t="shared" si="145"/>
        <v>4</v>
      </c>
      <c r="CZ48" s="29" t="str">
        <f t="shared" si="146"/>
        <v>B</v>
      </c>
      <c r="DA48" s="50">
        <f t="shared" si="147"/>
        <v>1</v>
      </c>
      <c r="DB48" s="49">
        <f t="shared" si="126"/>
        <v>4</v>
      </c>
      <c r="DC48" s="29" t="str">
        <f t="shared" si="127"/>
        <v>7A</v>
      </c>
      <c r="DD48" s="29" t="str">
        <f t="shared" si="148"/>
        <v>C</v>
      </c>
      <c r="DE48" s="29">
        <f t="shared" si="98"/>
        <v>2</v>
      </c>
      <c r="DF48" s="29">
        <f t="shared" si="149"/>
        <v>33</v>
      </c>
      <c r="DG48" s="47">
        <f t="shared" si="150"/>
        <v>3.4608132000000005</v>
      </c>
    </row>
    <row r="49" spans="3:111" ht="15" thickBot="1">
      <c r="C49" s="17" t="s">
        <v>135</v>
      </c>
      <c r="D49" s="10"/>
      <c r="L49" s="19"/>
      <c r="M49" s="19"/>
      <c r="N49" s="26" t="s">
        <v>132</v>
      </c>
      <c r="O49" s="41">
        <f t="shared" si="101"/>
        <v>1</v>
      </c>
      <c r="P49" s="36">
        <f t="shared" si="102"/>
        <v>0</v>
      </c>
      <c r="Q49" s="36">
        <f t="shared" si="103"/>
        <v>0</v>
      </c>
      <c r="R49" s="37" t="s">
        <v>21</v>
      </c>
      <c r="S49" s="37" t="str">
        <f t="shared" si="114"/>
        <v>BE</v>
      </c>
      <c r="T49" s="37">
        <f t="shared" si="105"/>
        <v>300</v>
      </c>
      <c r="U49" s="37">
        <f t="shared" si="106"/>
        <v>300</v>
      </c>
      <c r="V49" s="97">
        <f t="shared" si="107"/>
        <v>0.09</v>
      </c>
      <c r="W49" s="37">
        <v>113.5</v>
      </c>
      <c r="X49" s="37">
        <v>91</v>
      </c>
      <c r="Y49" s="37">
        <v>163</v>
      </c>
      <c r="Z49" s="102">
        <f t="shared" si="108"/>
        <v>1.3</v>
      </c>
      <c r="AA49" s="110">
        <v>3.8</v>
      </c>
      <c r="AB49" s="56">
        <v>6</v>
      </c>
      <c r="AC49" s="111">
        <v>3.5</v>
      </c>
      <c r="AD49" s="110">
        <v>3.6</v>
      </c>
      <c r="AE49" s="56">
        <v>5.5</v>
      </c>
      <c r="AF49" s="111">
        <v>3.5</v>
      </c>
      <c r="AG49" s="105">
        <f t="shared" si="115"/>
        <v>3.6</v>
      </c>
      <c r="AH49" s="37">
        <f t="shared" si="116"/>
        <v>5.5</v>
      </c>
      <c r="AI49" s="102">
        <f t="shared" si="117"/>
        <v>3.5</v>
      </c>
      <c r="AJ49" s="38">
        <f t="shared" si="118"/>
        <v>5.3290000000000004E-3</v>
      </c>
      <c r="AK49" s="38">
        <f t="shared" si="65"/>
        <v>8.4670999999999996E-2</v>
      </c>
      <c r="AL49" s="38">
        <f t="shared" si="66"/>
        <v>0</v>
      </c>
      <c r="AM49" s="38">
        <f t="shared" si="67"/>
        <v>0</v>
      </c>
      <c r="AN49" s="38">
        <f t="shared" si="119"/>
        <v>3.4638144444444445</v>
      </c>
      <c r="AO49" s="39">
        <f t="shared" si="109"/>
        <v>0.08</v>
      </c>
      <c r="AP49" s="92">
        <f t="shared" si="120"/>
        <v>0.25955555555555554</v>
      </c>
      <c r="AQ49" s="94">
        <f t="shared" si="110"/>
        <v>3.4638144444444445</v>
      </c>
      <c r="AR49" s="1">
        <f t="shared" si="111"/>
        <v>3</v>
      </c>
      <c r="AT49" s="49">
        <v>2000</v>
      </c>
      <c r="AU49" s="29">
        <v>1500</v>
      </c>
      <c r="AV49" s="29">
        <v>2</v>
      </c>
      <c r="AW49" s="48">
        <f t="shared" si="123"/>
        <v>3</v>
      </c>
      <c r="AX49" s="29">
        <v>3</v>
      </c>
      <c r="AY49" s="29" t="s">
        <v>129</v>
      </c>
      <c r="AZ49" s="29" t="s">
        <v>81</v>
      </c>
      <c r="BA49" s="50">
        <v>1</v>
      </c>
      <c r="BB49" s="49">
        <v>2900</v>
      </c>
      <c r="BC49" s="29">
        <v>2100</v>
      </c>
      <c r="BD49" s="29">
        <v>3</v>
      </c>
      <c r="BE49" s="48">
        <f t="shared" si="124"/>
        <v>6.09</v>
      </c>
      <c r="BF49" s="29">
        <v>3</v>
      </c>
      <c r="BG49" s="29" t="s">
        <v>133</v>
      </c>
      <c r="BH49" s="29" t="s">
        <v>81</v>
      </c>
      <c r="BI49" s="50">
        <v>1</v>
      </c>
      <c r="BJ49" s="49">
        <v>2900</v>
      </c>
      <c r="BK49" s="29">
        <v>2100</v>
      </c>
      <c r="BL49" s="29">
        <v>4</v>
      </c>
      <c r="BM49" s="48">
        <f t="shared" si="125"/>
        <v>6.09</v>
      </c>
      <c r="BN49" s="29">
        <v>3</v>
      </c>
      <c r="BO49" s="29" t="s">
        <v>126</v>
      </c>
      <c r="BP49" s="29" t="s">
        <v>81</v>
      </c>
      <c r="BQ49" s="50">
        <v>1</v>
      </c>
      <c r="BR49" s="49">
        <v>2900</v>
      </c>
      <c r="BS49" s="29">
        <v>2300</v>
      </c>
      <c r="BT49" s="29">
        <v>2</v>
      </c>
      <c r="BU49" s="48">
        <f t="shared" si="128"/>
        <v>6.67</v>
      </c>
      <c r="BV49" s="29">
        <v>3</v>
      </c>
      <c r="BW49" s="29" t="s">
        <v>134</v>
      </c>
      <c r="BX49" s="29" t="s">
        <v>130</v>
      </c>
      <c r="BY49" s="50">
        <v>1</v>
      </c>
      <c r="BZ49" s="49">
        <v>1230</v>
      </c>
      <c r="CA49" s="29">
        <v>1480</v>
      </c>
      <c r="CB49" s="29">
        <f t="shared" si="129"/>
        <v>1.8204</v>
      </c>
      <c r="CC49" s="29">
        <v>31</v>
      </c>
      <c r="CD49" s="29">
        <v>29</v>
      </c>
      <c r="CE49" s="29">
        <v>32</v>
      </c>
      <c r="CF49" s="29">
        <v>33</v>
      </c>
      <c r="CG49" s="29">
        <f t="shared" si="130"/>
        <v>4.9439683586025049</v>
      </c>
      <c r="CH49" s="50">
        <f t="shared" si="131"/>
        <v>0</v>
      </c>
      <c r="CI49" s="67">
        <f t="shared" si="121"/>
        <v>300</v>
      </c>
      <c r="CJ49" s="69">
        <f t="shared" si="122"/>
        <v>0.09</v>
      </c>
      <c r="CK49" s="71">
        <f t="shared" si="112"/>
        <v>1</v>
      </c>
      <c r="CL49" s="49">
        <f t="shared" si="132"/>
        <v>3</v>
      </c>
      <c r="CM49" s="29">
        <f t="shared" si="133"/>
        <v>5</v>
      </c>
      <c r="CN49" s="29" t="str">
        <f t="shared" si="134"/>
        <v>C</v>
      </c>
      <c r="CO49" s="50">
        <f t="shared" si="135"/>
        <v>1</v>
      </c>
      <c r="CP49" s="195">
        <f t="shared" si="136"/>
        <v>3</v>
      </c>
      <c r="CQ49" s="29">
        <f t="shared" si="137"/>
        <v>2</v>
      </c>
      <c r="CR49" s="29" t="str">
        <f t="shared" si="138"/>
        <v>C</v>
      </c>
      <c r="CS49" s="194">
        <f t="shared" si="139"/>
        <v>1</v>
      </c>
      <c r="CT49" s="49">
        <f t="shared" si="140"/>
        <v>3</v>
      </c>
      <c r="CU49" s="29">
        <f t="shared" si="141"/>
        <v>4</v>
      </c>
      <c r="CV49" s="29" t="str">
        <f t="shared" si="142"/>
        <v>C</v>
      </c>
      <c r="CW49" s="50">
        <f t="shared" si="143"/>
        <v>1</v>
      </c>
      <c r="CX49" s="49">
        <f t="shared" si="144"/>
        <v>3</v>
      </c>
      <c r="CY49" s="29">
        <f t="shared" si="145"/>
        <v>3</v>
      </c>
      <c r="CZ49" s="29" t="str">
        <f t="shared" si="146"/>
        <v>B</v>
      </c>
      <c r="DA49" s="50">
        <f t="shared" si="147"/>
        <v>1</v>
      </c>
      <c r="DB49" s="49">
        <f t="shared" si="126"/>
        <v>3</v>
      </c>
      <c r="DC49" s="29" t="str">
        <f t="shared" si="127"/>
        <v>5A</v>
      </c>
      <c r="DD49" s="29" t="str">
        <f t="shared" si="148"/>
        <v>C</v>
      </c>
      <c r="DE49" s="29">
        <f t="shared" si="98"/>
        <v>1</v>
      </c>
      <c r="DF49" s="29">
        <f t="shared" si="149"/>
        <v>32</v>
      </c>
      <c r="DG49" s="47">
        <f t="shared" si="150"/>
        <v>3.4638144444444445</v>
      </c>
    </row>
    <row r="50" spans="3:111" hidden="1">
      <c r="C50" s="1"/>
      <c r="N50" s="117" t="s">
        <v>136</v>
      </c>
      <c r="O50" s="41">
        <f t="shared" si="101"/>
        <v>1</v>
      </c>
      <c r="P50" s="36">
        <f t="shared" si="102"/>
        <v>0</v>
      </c>
      <c r="Q50" s="36">
        <f t="shared" si="103"/>
        <v>0</v>
      </c>
      <c r="R50" s="37" t="s">
        <v>21</v>
      </c>
      <c r="S50" s="37" t="str">
        <f t="shared" si="114"/>
        <v>BE</v>
      </c>
      <c r="T50" s="37">
        <f t="shared" si="105"/>
        <v>300</v>
      </c>
      <c r="U50" s="37">
        <f t="shared" si="106"/>
        <v>300</v>
      </c>
      <c r="V50" s="97">
        <f t="shared" si="107"/>
        <v>0.09</v>
      </c>
      <c r="W50" s="118">
        <v>115.6</v>
      </c>
      <c r="X50" s="118">
        <v>26</v>
      </c>
      <c r="Y50" s="118">
        <v>163</v>
      </c>
      <c r="Z50" s="102">
        <f t="shared" si="108"/>
        <v>1.3</v>
      </c>
      <c r="AA50" s="120">
        <v>3.7</v>
      </c>
      <c r="AB50" s="121">
        <v>4.0999999999999996</v>
      </c>
      <c r="AC50" s="122">
        <v>4.0999999999999996</v>
      </c>
      <c r="AD50" s="120">
        <v>3.3</v>
      </c>
      <c r="AE50" s="121">
        <v>3.5</v>
      </c>
      <c r="AF50" s="122">
        <v>3.5</v>
      </c>
      <c r="AG50" s="123">
        <f t="shared" si="115"/>
        <v>3.3</v>
      </c>
      <c r="AH50" s="118">
        <f t="shared" si="116"/>
        <v>3.5</v>
      </c>
      <c r="AI50" s="119">
        <f t="shared" si="117"/>
        <v>3.5</v>
      </c>
      <c r="AJ50" s="38">
        <f t="shared" si="118"/>
        <v>4.7334400000000054E-3</v>
      </c>
      <c r="AK50" s="38">
        <f t="shared" si="65"/>
        <v>8.5266559999999991E-2</v>
      </c>
      <c r="AL50" s="38">
        <f t="shared" si="66"/>
        <v>0</v>
      </c>
      <c r="AM50" s="38">
        <f t="shared" si="67"/>
        <v>0</v>
      </c>
      <c r="AN50" s="38">
        <f t="shared" si="119"/>
        <v>3.1948124444444441</v>
      </c>
      <c r="AO50" s="39">
        <f>+IF(R50="NO",0,IF(S50="BE",0.08,0.06))</f>
        <v>0.08</v>
      </c>
      <c r="AP50" s="92">
        <f t="shared" si="120"/>
        <v>0.24462222222222227</v>
      </c>
      <c r="AQ50" s="94">
        <f t="shared" si="110"/>
        <v>3.1948124444444441</v>
      </c>
      <c r="AR50" s="1">
        <f t="shared" si="111"/>
        <v>3</v>
      </c>
      <c r="AT50" s="49">
        <v>2000</v>
      </c>
      <c r="AU50" s="29">
        <v>1500</v>
      </c>
      <c r="AV50" s="29">
        <v>2</v>
      </c>
      <c r="AW50" s="48">
        <f t="shared" si="123"/>
        <v>3</v>
      </c>
      <c r="AX50" s="29">
        <v>3</v>
      </c>
      <c r="AY50" s="29" t="s">
        <v>129</v>
      </c>
      <c r="AZ50" s="29" t="s">
        <v>81</v>
      </c>
      <c r="BA50" s="50">
        <v>4</v>
      </c>
      <c r="BB50" s="49">
        <v>2900</v>
      </c>
      <c r="BC50" s="29">
        <v>2100</v>
      </c>
      <c r="BD50" s="29">
        <v>3</v>
      </c>
      <c r="BE50" s="48">
        <f t="shared" si="124"/>
        <v>6.09</v>
      </c>
      <c r="BF50" s="29">
        <v>3</v>
      </c>
      <c r="BG50" s="29" t="s">
        <v>129</v>
      </c>
      <c r="BH50" s="29" t="s">
        <v>81</v>
      </c>
      <c r="BI50" s="50">
        <v>1</v>
      </c>
      <c r="BJ50" s="49">
        <v>2900</v>
      </c>
      <c r="BK50" s="29">
        <v>2100</v>
      </c>
      <c r="BL50" s="29">
        <v>4</v>
      </c>
      <c r="BM50" s="48">
        <f t="shared" si="125"/>
        <v>6.09</v>
      </c>
      <c r="BN50" s="29">
        <v>3</v>
      </c>
      <c r="BO50" s="29" t="s">
        <v>126</v>
      </c>
      <c r="BP50" s="29" t="s">
        <v>81</v>
      </c>
      <c r="BQ50" s="50">
        <v>1</v>
      </c>
      <c r="BR50" s="49">
        <v>2900</v>
      </c>
      <c r="BS50" s="29">
        <v>2300</v>
      </c>
      <c r="BT50" s="29">
        <v>2</v>
      </c>
      <c r="BU50" s="48">
        <f t="shared" si="128"/>
        <v>6.67</v>
      </c>
      <c r="BV50" s="29">
        <v>3</v>
      </c>
      <c r="BW50" s="29" t="s">
        <v>126</v>
      </c>
      <c r="BX50" s="29" t="s">
        <v>130</v>
      </c>
      <c r="BY50" s="50">
        <v>1</v>
      </c>
      <c r="BZ50" s="49">
        <v>1400</v>
      </c>
      <c r="CA50" s="29">
        <v>1500</v>
      </c>
      <c r="CB50" s="29">
        <f t="shared" si="129"/>
        <v>2.1</v>
      </c>
      <c r="CC50" s="29">
        <v>31</v>
      </c>
      <c r="CD50" s="29">
        <v>29</v>
      </c>
      <c r="CE50" s="29">
        <v>33</v>
      </c>
      <c r="CF50" s="29">
        <v>33</v>
      </c>
      <c r="CG50" s="29">
        <f t="shared" si="130"/>
        <v>4.2857142857142847</v>
      </c>
      <c r="CH50" s="50">
        <f t="shared" si="131"/>
        <v>0</v>
      </c>
      <c r="CI50" s="67">
        <f t="shared" si="121"/>
        <v>300</v>
      </c>
      <c r="CJ50" s="69">
        <f t="shared" si="122"/>
        <v>0.09</v>
      </c>
      <c r="CK50" s="71">
        <f t="shared" si="112"/>
        <v>1</v>
      </c>
      <c r="CL50" s="49">
        <f t="shared" si="132"/>
        <v>3</v>
      </c>
      <c r="CM50" s="29">
        <f t="shared" si="133"/>
        <v>5</v>
      </c>
      <c r="CN50" s="29" t="str">
        <f t="shared" si="134"/>
        <v>C</v>
      </c>
      <c r="CO50" s="50">
        <f t="shared" si="135"/>
        <v>4</v>
      </c>
      <c r="CP50" s="195">
        <f t="shared" si="136"/>
        <v>3</v>
      </c>
      <c r="CQ50" s="29">
        <f t="shared" si="137"/>
        <v>5</v>
      </c>
      <c r="CR50" s="29" t="str">
        <f t="shared" si="138"/>
        <v>C</v>
      </c>
      <c r="CS50" s="194">
        <f t="shared" si="139"/>
        <v>1</v>
      </c>
      <c r="CT50" s="49">
        <f t="shared" si="140"/>
        <v>3</v>
      </c>
      <c r="CU50" s="29">
        <f t="shared" si="141"/>
        <v>4</v>
      </c>
      <c r="CV50" s="29" t="str">
        <f t="shared" si="142"/>
        <v>C</v>
      </c>
      <c r="CW50" s="50">
        <f t="shared" si="143"/>
        <v>1</v>
      </c>
      <c r="CX50" s="49">
        <f t="shared" si="144"/>
        <v>3</v>
      </c>
      <c r="CY50" s="29">
        <f t="shared" si="145"/>
        <v>4</v>
      </c>
      <c r="CZ50" s="29" t="str">
        <f t="shared" si="146"/>
        <v>B</v>
      </c>
      <c r="DA50" s="50">
        <f t="shared" si="147"/>
        <v>1</v>
      </c>
      <c r="DB50" s="49">
        <f t="shared" si="126"/>
        <v>3</v>
      </c>
      <c r="DC50" s="29" t="str">
        <f t="shared" si="127"/>
        <v>5A</v>
      </c>
      <c r="DD50" s="29" t="str">
        <f t="shared" si="148"/>
        <v>C</v>
      </c>
      <c r="DE50" s="29">
        <f t="shared" si="98"/>
        <v>4</v>
      </c>
      <c r="DF50" s="29">
        <f t="shared" si="149"/>
        <v>33</v>
      </c>
      <c r="DG50" s="47">
        <f t="shared" si="150"/>
        <v>3.1948124444444441</v>
      </c>
    </row>
    <row r="51" spans="3:111" hidden="1">
      <c r="C51" s="124"/>
      <c r="D51" s="125"/>
      <c r="J51"/>
      <c r="K51"/>
      <c r="N51" s="117" t="s">
        <v>137</v>
      </c>
      <c r="O51" s="41">
        <f>+$D$10</f>
        <v>1</v>
      </c>
      <c r="P51" s="36">
        <f>+H$19</f>
        <v>0</v>
      </c>
      <c r="Q51" s="36">
        <f>+I$19</f>
        <v>0</v>
      </c>
      <c r="R51" s="37" t="s">
        <v>21</v>
      </c>
      <c r="S51" s="37" t="str">
        <f>+IF(I$9="N","N","BE")</f>
        <v>BE</v>
      </c>
      <c r="T51" s="37">
        <f>+$D$13</f>
        <v>1400</v>
      </c>
      <c r="U51" s="37">
        <f>+$D$14</f>
        <v>2150</v>
      </c>
      <c r="V51" s="97">
        <f>+T51*U51/1000000</f>
        <v>3.01</v>
      </c>
      <c r="W51" s="118">
        <v>111.1</v>
      </c>
      <c r="X51" s="118">
        <v>36.799999999999997</v>
      </c>
      <c r="Y51" s="118">
        <v>154.6</v>
      </c>
      <c r="Z51" s="102">
        <f>+$D$21</f>
        <v>1.1000000000000001</v>
      </c>
      <c r="AA51" s="120">
        <v>3.5</v>
      </c>
      <c r="AB51" s="121">
        <v>6</v>
      </c>
      <c r="AC51" s="122">
        <v>3.5</v>
      </c>
      <c r="AD51" s="120">
        <v>3.5</v>
      </c>
      <c r="AE51" s="121">
        <v>6</v>
      </c>
      <c r="AF51" s="122">
        <v>3.5</v>
      </c>
      <c r="AG51" s="123">
        <f t="shared" ref="AG51:AI52" si="151">+IF($D$12="SI",AD51,AA51)</f>
        <v>3.5</v>
      </c>
      <c r="AH51" s="118">
        <f t="shared" si="151"/>
        <v>6</v>
      </c>
      <c r="AI51" s="119">
        <f t="shared" si="151"/>
        <v>3.5</v>
      </c>
      <c r="AJ51" s="38">
        <f>+(T51*U51)/1000000-AK51-AL51-AM51</f>
        <v>2.2705628399999997</v>
      </c>
      <c r="AK51" s="38">
        <f>+(T51*U51-(T51-2*W51)*(U51-2*W51))/1000000</f>
        <v>0.73943716000000015</v>
      </c>
      <c r="AL51" s="38">
        <f>+(U51-2*W51)/1000000*X51*P51</f>
        <v>0</v>
      </c>
      <c r="AM51" s="38">
        <f>+(U51-2*W51)/1000000*Y51*Q51</f>
        <v>0</v>
      </c>
      <c r="AN51" s="38">
        <f>+(Z51*AJ51+AG51*AK51+AL51*AH51+AI51*AM51)/(AJ51+AK51+AL51+AM51)</f>
        <v>1.6895844465116281</v>
      </c>
      <c r="AO51" s="39">
        <f>+IF(R51="NO",0,IF(S51="BE",0.08,0.06))</f>
        <v>0.08</v>
      </c>
      <c r="AP51" s="92">
        <f>+AO51*((T51-2*W51-P51*X51-Q51*Y51)/1000*2+(U51-2*W51)/1000*2*(P51+Q51+1))/(AJ51+AK51+AL51+AM51)</f>
        <v>0.16508172757475084</v>
      </c>
      <c r="AQ51" s="94">
        <f t="shared" si="110"/>
        <v>1.6895844465116281</v>
      </c>
      <c r="AR51" s="1">
        <f t="shared" si="111"/>
        <v>3</v>
      </c>
      <c r="AT51" s="73"/>
      <c r="AU51" s="75"/>
      <c r="AV51" s="75"/>
      <c r="AW51" s="48"/>
      <c r="AX51" s="75"/>
      <c r="AY51" s="75"/>
      <c r="AZ51" s="75"/>
      <c r="BA51" s="76"/>
      <c r="BB51" s="73"/>
      <c r="BC51" s="75"/>
      <c r="BD51" s="75"/>
      <c r="BE51" s="48"/>
      <c r="BF51" s="75"/>
      <c r="BG51" s="75"/>
      <c r="BH51" s="75"/>
      <c r="BI51" s="76"/>
      <c r="BJ51" s="73"/>
      <c r="BK51" s="75"/>
      <c r="BL51" s="75"/>
      <c r="BM51" s="48"/>
      <c r="BN51" s="75"/>
      <c r="BO51" s="75"/>
      <c r="BP51" s="75"/>
      <c r="BQ51" s="76"/>
      <c r="BR51" s="73">
        <v>2900</v>
      </c>
      <c r="BS51" s="75">
        <v>2100</v>
      </c>
      <c r="BT51" s="75">
        <v>2</v>
      </c>
      <c r="BU51" s="48">
        <f t="shared" si="128"/>
        <v>6.09</v>
      </c>
      <c r="BV51" s="75">
        <v>3</v>
      </c>
      <c r="BW51" s="75" t="s">
        <v>82</v>
      </c>
      <c r="BX51" s="75" t="s">
        <v>81</v>
      </c>
      <c r="BY51" s="76">
        <v>1</v>
      </c>
      <c r="BZ51" s="49">
        <v>1400</v>
      </c>
      <c r="CA51" s="29">
        <v>1500</v>
      </c>
      <c r="CB51" s="29">
        <f t="shared" si="129"/>
        <v>2.1</v>
      </c>
      <c r="CC51" s="29">
        <v>31</v>
      </c>
      <c r="CD51" s="29">
        <v>29</v>
      </c>
      <c r="CE51" s="29">
        <v>33</v>
      </c>
      <c r="CF51" s="29">
        <v>33</v>
      </c>
      <c r="CG51" s="29">
        <f t="shared" si="130"/>
        <v>143.33333333333331</v>
      </c>
      <c r="CH51" s="50">
        <f t="shared" si="131"/>
        <v>0</v>
      </c>
      <c r="CI51" s="67">
        <f t="shared" ref="CI51:CJ53" si="152">+U51</f>
        <v>2150</v>
      </c>
      <c r="CJ51" s="69">
        <f t="shared" si="152"/>
        <v>3.01</v>
      </c>
      <c r="CK51" s="71">
        <f t="shared" si="112"/>
        <v>1</v>
      </c>
      <c r="CL51" s="49" t="str">
        <f t="shared" si="132"/>
        <v>0</v>
      </c>
      <c r="CM51" s="29">
        <f t="shared" si="133"/>
        <v>0</v>
      </c>
      <c r="CN51" s="29" t="str">
        <f t="shared" si="134"/>
        <v>0</v>
      </c>
      <c r="CO51" s="50" t="str">
        <f t="shared" si="135"/>
        <v>0</v>
      </c>
      <c r="CP51" s="195" t="str">
        <f t="shared" si="136"/>
        <v>0</v>
      </c>
      <c r="CQ51" s="29">
        <f t="shared" si="137"/>
        <v>0</v>
      </c>
      <c r="CR51" s="29" t="str">
        <f t="shared" si="138"/>
        <v>0</v>
      </c>
      <c r="CS51" s="194" t="str">
        <f t="shared" si="139"/>
        <v>0</v>
      </c>
      <c r="CT51" s="49" t="str">
        <f t="shared" si="140"/>
        <v>0</v>
      </c>
      <c r="CU51" s="29">
        <f t="shared" si="141"/>
        <v>0</v>
      </c>
      <c r="CV51" s="29" t="str">
        <f t="shared" si="142"/>
        <v>0</v>
      </c>
      <c r="CW51" s="50" t="str">
        <f t="shared" si="143"/>
        <v>0</v>
      </c>
      <c r="CX51" s="49">
        <f t="shared" si="144"/>
        <v>3</v>
      </c>
      <c r="CY51" s="29">
        <f t="shared" si="145"/>
        <v>7</v>
      </c>
      <c r="CZ51" s="29" t="str">
        <f t="shared" si="146"/>
        <v>0</v>
      </c>
      <c r="DA51" s="50" t="str">
        <f t="shared" si="147"/>
        <v>0</v>
      </c>
      <c r="DB51" s="49">
        <f t="shared" si="126"/>
        <v>3</v>
      </c>
      <c r="DC51" s="29" t="str">
        <f t="shared" si="127"/>
        <v>7A</v>
      </c>
      <c r="DD51" s="29" t="str">
        <f t="shared" si="148"/>
        <v>A</v>
      </c>
      <c r="DE51" s="29" t="str">
        <f t="shared" si="98"/>
        <v>1</v>
      </c>
      <c r="DF51" s="29">
        <f t="shared" si="149"/>
        <v>33</v>
      </c>
      <c r="DG51" s="47">
        <f t="shared" si="150"/>
        <v>1.6895844465116281</v>
      </c>
    </row>
    <row r="52" spans="3:111" hidden="1">
      <c r="D52" s="99"/>
      <c r="J52"/>
      <c r="K52"/>
      <c r="N52" s="117" t="s">
        <v>138</v>
      </c>
      <c r="O52" s="41">
        <f>+$D$10</f>
        <v>1</v>
      </c>
      <c r="P52" s="36">
        <f>+H$19</f>
        <v>0</v>
      </c>
      <c r="Q52" s="36">
        <f>+I$19</f>
        <v>0</v>
      </c>
      <c r="R52" s="37" t="s">
        <v>21</v>
      </c>
      <c r="S52" s="37" t="str">
        <f>+IF(I$9="N","N","BE")</f>
        <v>BE</v>
      </c>
      <c r="T52" s="37">
        <f>+$D$13</f>
        <v>1400</v>
      </c>
      <c r="U52" s="37">
        <f>+$D$14</f>
        <v>2150</v>
      </c>
      <c r="V52" s="97">
        <f>+T52*U52/1000000</f>
        <v>3.01</v>
      </c>
      <c r="W52" s="118">
        <v>78</v>
      </c>
      <c r="X52" s="118">
        <v>32</v>
      </c>
      <c r="Y52" s="118">
        <v>32</v>
      </c>
      <c r="Z52" s="102">
        <f>+$D$21</f>
        <v>1.1000000000000001</v>
      </c>
      <c r="AA52" s="120">
        <v>3.7</v>
      </c>
      <c r="AB52" s="121">
        <v>4.0999999999999996</v>
      </c>
      <c r="AC52" s="122">
        <v>4.0999999999999996</v>
      </c>
      <c r="AD52" s="120">
        <v>3.3</v>
      </c>
      <c r="AE52" s="121">
        <v>3.5</v>
      </c>
      <c r="AF52" s="122">
        <v>3.5</v>
      </c>
      <c r="AG52" s="123">
        <f t="shared" si="151"/>
        <v>3.3</v>
      </c>
      <c r="AH52" s="118">
        <f t="shared" si="151"/>
        <v>3.5</v>
      </c>
      <c r="AI52" s="119">
        <f t="shared" si="151"/>
        <v>3.5</v>
      </c>
      <c r="AJ52" s="38">
        <f>+(T52*U52)/1000000-AK52-AL52-AM52</f>
        <v>2.4805359999999999</v>
      </c>
      <c r="AK52" s="38">
        <f>+(T52*U52-(T52-2*W52)*(U52-2*W52))/1000000</f>
        <v>0.52946400000000005</v>
      </c>
      <c r="AL52" s="38">
        <f>+(U52-2*W52)/1000000*X52*P52</f>
        <v>0</v>
      </c>
      <c r="AM52" s="38">
        <f>+(U52-2*W52)/1000000*Y52*Q52</f>
        <v>0</v>
      </c>
      <c r="AN52" s="38">
        <f>+(Z52*AJ52+AG52*AK52+AL52*AH52+AI52*AM52)/(AJ52+AK52+AL52+AM52)</f>
        <v>1.4869836544850501</v>
      </c>
      <c r="AO52" s="39">
        <v>0.03</v>
      </c>
      <c r="AP52" s="92">
        <f>+AO52*((T52-2*W52-P52*X52-Q52*Y52)/1000*2+(U52-2*W52)/1000*2*(P52+Q52+1))/(AJ52+AK52+AL52+AM52)</f>
        <v>6.4544850498338871E-2</v>
      </c>
      <c r="AQ52" s="94">
        <f t="shared" si="110"/>
        <v>1.4869836544850501</v>
      </c>
      <c r="AR52" s="1">
        <f t="shared" si="111"/>
        <v>3</v>
      </c>
      <c r="AT52" s="73"/>
      <c r="AU52" s="75"/>
      <c r="AV52" s="75"/>
      <c r="AW52" s="48">
        <f>+AT52*AU52/1000000</f>
        <v>0</v>
      </c>
      <c r="AX52" s="75"/>
      <c r="AY52" s="75"/>
      <c r="AZ52" s="75"/>
      <c r="BA52" s="76"/>
      <c r="BB52" s="73"/>
      <c r="BC52" s="75"/>
      <c r="BD52" s="75"/>
      <c r="BE52" s="48">
        <f>+BB52*BC52/1000000</f>
        <v>0</v>
      </c>
      <c r="BF52" s="75"/>
      <c r="BG52" s="75"/>
      <c r="BH52" s="75"/>
      <c r="BI52" s="76"/>
      <c r="BJ52" s="73"/>
      <c r="BK52" s="75"/>
      <c r="BL52" s="75"/>
      <c r="BM52" s="48">
        <f>+BJ52*BK52/1000000</f>
        <v>0</v>
      </c>
      <c r="BN52" s="75"/>
      <c r="BO52" s="75"/>
      <c r="BP52" s="75"/>
      <c r="BQ52" s="76"/>
      <c r="BR52" s="73">
        <v>2900</v>
      </c>
      <c r="BS52" s="75">
        <v>2100</v>
      </c>
      <c r="BT52" s="75">
        <v>2</v>
      </c>
      <c r="BU52" s="48">
        <f t="shared" si="128"/>
        <v>6.09</v>
      </c>
      <c r="BV52" s="75">
        <v>3</v>
      </c>
      <c r="BW52" s="75" t="s">
        <v>82</v>
      </c>
      <c r="BX52" s="75" t="s">
        <v>81</v>
      </c>
      <c r="BY52" s="76">
        <v>1</v>
      </c>
      <c r="BZ52" s="49">
        <v>1400</v>
      </c>
      <c r="CA52" s="29">
        <v>1500</v>
      </c>
      <c r="CB52" s="29">
        <f t="shared" si="129"/>
        <v>2.1</v>
      </c>
      <c r="CC52" s="29">
        <v>31</v>
      </c>
      <c r="CD52" s="29">
        <v>29</v>
      </c>
      <c r="CE52" s="29">
        <v>33</v>
      </c>
      <c r="CF52" s="29">
        <v>33</v>
      </c>
      <c r="CG52" s="29">
        <f t="shared" si="130"/>
        <v>143.33333333333331</v>
      </c>
      <c r="CH52" s="50">
        <f t="shared" si="131"/>
        <v>0</v>
      </c>
      <c r="CI52" s="67">
        <f t="shared" si="152"/>
        <v>2150</v>
      </c>
      <c r="CJ52" s="69">
        <f t="shared" si="152"/>
        <v>3.01</v>
      </c>
      <c r="CK52" s="71">
        <f t="shared" si="112"/>
        <v>1</v>
      </c>
      <c r="CL52" s="49" t="str">
        <f t="shared" si="132"/>
        <v>0</v>
      </c>
      <c r="CM52" s="29">
        <f t="shared" si="133"/>
        <v>0</v>
      </c>
      <c r="CN52" s="29" t="str">
        <f t="shared" si="134"/>
        <v>0</v>
      </c>
      <c r="CO52" s="50" t="str">
        <f t="shared" si="135"/>
        <v>0</v>
      </c>
      <c r="CP52" s="195" t="str">
        <f t="shared" si="136"/>
        <v>0</v>
      </c>
      <c r="CQ52" s="29">
        <f t="shared" si="137"/>
        <v>0</v>
      </c>
      <c r="CR52" s="29" t="str">
        <f t="shared" si="138"/>
        <v>0</v>
      </c>
      <c r="CS52" s="194" t="str">
        <f t="shared" si="139"/>
        <v>0</v>
      </c>
      <c r="CT52" s="49" t="str">
        <f t="shared" si="140"/>
        <v>0</v>
      </c>
      <c r="CU52" s="29">
        <f t="shared" si="141"/>
        <v>0</v>
      </c>
      <c r="CV52" s="29" t="str">
        <f t="shared" si="142"/>
        <v>0</v>
      </c>
      <c r="CW52" s="50" t="str">
        <f t="shared" si="143"/>
        <v>0</v>
      </c>
      <c r="CX52" s="49">
        <f t="shared" si="144"/>
        <v>3</v>
      </c>
      <c r="CY52" s="29">
        <f t="shared" si="145"/>
        <v>7</v>
      </c>
      <c r="CZ52" s="29" t="str">
        <f t="shared" si="146"/>
        <v>0</v>
      </c>
      <c r="DA52" s="50" t="str">
        <f t="shared" si="147"/>
        <v>0</v>
      </c>
      <c r="DB52" s="49">
        <f t="shared" si="126"/>
        <v>3</v>
      </c>
      <c r="DC52" s="29" t="str">
        <f t="shared" si="127"/>
        <v>7A</v>
      </c>
      <c r="DD52" s="29" t="str">
        <f t="shared" si="148"/>
        <v>A</v>
      </c>
      <c r="DE52" s="29" t="str">
        <f t="shared" si="98"/>
        <v>1</v>
      </c>
      <c r="DF52" s="29">
        <f t="shared" si="149"/>
        <v>33</v>
      </c>
      <c r="DG52" s="47">
        <f t="shared" si="150"/>
        <v>1.4869836544850501</v>
      </c>
    </row>
    <row r="53" spans="3:111" ht="15" hidden="1" thickBot="1">
      <c r="C53" s="1"/>
      <c r="N53" s="27" t="s">
        <v>139</v>
      </c>
      <c r="O53" s="42">
        <f t="shared" si="101"/>
        <v>1</v>
      </c>
      <c r="P53" s="43">
        <f t="shared" si="102"/>
        <v>0</v>
      </c>
      <c r="Q53" s="43">
        <f t="shared" si="103"/>
        <v>0</v>
      </c>
      <c r="R53" s="44" t="s">
        <v>21</v>
      </c>
      <c r="S53" s="44" t="str">
        <f t="shared" si="114"/>
        <v>BE</v>
      </c>
      <c r="T53" s="44">
        <f t="shared" si="105"/>
        <v>300</v>
      </c>
      <c r="U53" s="44">
        <f t="shared" si="106"/>
        <v>300</v>
      </c>
      <c r="V53" s="98">
        <f t="shared" si="107"/>
        <v>0.09</v>
      </c>
      <c r="W53" s="44">
        <v>140</v>
      </c>
      <c r="X53" s="44">
        <v>110</v>
      </c>
      <c r="Y53" s="44"/>
      <c r="Z53" s="103">
        <f t="shared" si="108"/>
        <v>1.3</v>
      </c>
      <c r="AA53" s="115">
        <v>3.9</v>
      </c>
      <c r="AB53" s="57">
        <v>3.9</v>
      </c>
      <c r="AC53" s="116"/>
      <c r="AD53" s="115">
        <v>3.9</v>
      </c>
      <c r="AE53" s="57">
        <v>7</v>
      </c>
      <c r="AF53" s="116"/>
      <c r="AG53" s="106">
        <f t="shared" si="115"/>
        <v>3.9</v>
      </c>
      <c r="AH53" s="44">
        <f t="shared" si="116"/>
        <v>7</v>
      </c>
      <c r="AI53" s="103">
        <f t="shared" si="117"/>
        <v>0</v>
      </c>
      <c r="AJ53" s="45">
        <f t="shared" si="118"/>
        <v>3.9999999999999758E-4</v>
      </c>
      <c r="AK53" s="45">
        <f t="shared" si="65"/>
        <v>8.9599999999999999E-2</v>
      </c>
      <c r="AL53" s="45">
        <f t="shared" si="66"/>
        <v>0</v>
      </c>
      <c r="AM53" s="45">
        <f t="shared" si="67"/>
        <v>0</v>
      </c>
      <c r="AN53" s="45">
        <f t="shared" si="119"/>
        <v>3.8884444444444446</v>
      </c>
      <c r="AO53" s="46">
        <v>3.1E-2</v>
      </c>
      <c r="AP53" s="93">
        <f t="shared" si="120"/>
        <v>2.7555555555555555E-2</v>
      </c>
      <c r="AQ53" s="100">
        <f t="shared" si="110"/>
        <v>3.8884444444444446</v>
      </c>
      <c r="AR53" s="1">
        <v>3</v>
      </c>
      <c r="AT53" s="51"/>
      <c r="AU53" s="52"/>
      <c r="AV53" s="52"/>
      <c r="AW53" s="54">
        <f>+AT53*AU53/1000000</f>
        <v>0</v>
      </c>
      <c r="AX53" s="52"/>
      <c r="AY53" s="52"/>
      <c r="AZ53" s="52"/>
      <c r="BA53" s="53"/>
      <c r="BB53" s="51"/>
      <c r="BC53" s="52"/>
      <c r="BD53" s="52"/>
      <c r="BE53" s="54">
        <f>+BB53*BC53/1000000</f>
        <v>0</v>
      </c>
      <c r="BF53" s="52"/>
      <c r="BG53" s="52"/>
      <c r="BH53" s="52"/>
      <c r="BI53" s="53"/>
      <c r="BJ53" s="51"/>
      <c r="BK53" s="52"/>
      <c r="BL53" s="52"/>
      <c r="BM53" s="54">
        <f>+BJ53*BK53/1000000</f>
        <v>0</v>
      </c>
      <c r="BN53" s="52"/>
      <c r="BO53" s="52"/>
      <c r="BP53" s="52"/>
      <c r="BQ53" s="53"/>
      <c r="BR53" s="51">
        <v>2960</v>
      </c>
      <c r="BS53" s="52">
        <v>2350</v>
      </c>
      <c r="BT53" s="52">
        <v>2</v>
      </c>
      <c r="BU53" s="54">
        <f t="shared" si="128"/>
        <v>6.9560000000000004</v>
      </c>
      <c r="BV53" s="52">
        <v>4</v>
      </c>
      <c r="BW53" s="52" t="s">
        <v>82</v>
      </c>
      <c r="BX53" s="52" t="s">
        <v>81</v>
      </c>
      <c r="BY53" s="53">
        <v>1</v>
      </c>
      <c r="BZ53" s="51">
        <v>2000</v>
      </c>
      <c r="CA53" s="52">
        <v>1500</v>
      </c>
      <c r="CB53" s="52">
        <f t="shared" si="129"/>
        <v>3</v>
      </c>
      <c r="CC53" s="52">
        <v>32</v>
      </c>
      <c r="CD53" s="52">
        <v>29</v>
      </c>
      <c r="CE53" s="52">
        <v>33</v>
      </c>
      <c r="CF53" s="52">
        <v>33</v>
      </c>
      <c r="CG53" s="52">
        <f t="shared" si="130"/>
        <v>3</v>
      </c>
      <c r="CH53" s="53">
        <f t="shared" si="131"/>
        <v>0</v>
      </c>
      <c r="CI53" s="68">
        <f t="shared" si="152"/>
        <v>300</v>
      </c>
      <c r="CJ53" s="70">
        <f t="shared" si="152"/>
        <v>0.09</v>
      </c>
      <c r="CK53" s="72">
        <f t="shared" si="112"/>
        <v>1</v>
      </c>
      <c r="CL53" s="51" t="str">
        <f t="shared" si="132"/>
        <v>0</v>
      </c>
      <c r="CM53" s="52">
        <f t="shared" si="133"/>
        <v>0</v>
      </c>
      <c r="CN53" s="52" t="str">
        <f t="shared" si="134"/>
        <v>0</v>
      </c>
      <c r="CO53" s="53" t="str">
        <f t="shared" si="135"/>
        <v>0</v>
      </c>
      <c r="CP53" s="64" t="str">
        <f t="shared" si="136"/>
        <v>0</v>
      </c>
      <c r="CQ53" s="52">
        <f t="shared" si="137"/>
        <v>0</v>
      </c>
      <c r="CR53" s="52" t="str">
        <f t="shared" si="138"/>
        <v>0</v>
      </c>
      <c r="CS53" s="63" t="str">
        <f t="shared" si="139"/>
        <v>0</v>
      </c>
      <c r="CT53" s="51" t="str">
        <f t="shared" si="140"/>
        <v>0</v>
      </c>
      <c r="CU53" s="52">
        <f t="shared" si="141"/>
        <v>0</v>
      </c>
      <c r="CV53" s="52" t="str">
        <f t="shared" si="142"/>
        <v>0</v>
      </c>
      <c r="CW53" s="53" t="str">
        <f t="shared" si="143"/>
        <v>0</v>
      </c>
      <c r="CX53" s="51">
        <f t="shared" si="144"/>
        <v>4</v>
      </c>
      <c r="CY53" s="52">
        <f t="shared" si="145"/>
        <v>7</v>
      </c>
      <c r="CZ53" s="52" t="str">
        <f t="shared" si="146"/>
        <v>C</v>
      </c>
      <c r="DA53" s="53">
        <f t="shared" si="147"/>
        <v>1</v>
      </c>
      <c r="DB53" s="51">
        <f t="shared" si="126"/>
        <v>4</v>
      </c>
      <c r="DC53" s="52" t="str">
        <f t="shared" si="127"/>
        <v>7A</v>
      </c>
      <c r="DD53" s="52" t="str">
        <f t="shared" si="148"/>
        <v>C</v>
      </c>
      <c r="DE53" s="52">
        <f t="shared" si="98"/>
        <v>1</v>
      </c>
      <c r="DF53" s="52">
        <f t="shared" si="149"/>
        <v>33</v>
      </c>
      <c r="DG53" s="58">
        <f t="shared" si="150"/>
        <v>3.8884444444444446</v>
      </c>
    </row>
    <row r="54" spans="3:111" ht="15" thickBot="1">
      <c r="C54" s="1"/>
      <c r="AG54" s="1"/>
      <c r="AH54" s="1"/>
      <c r="AI54" s="1"/>
      <c r="AJ54" s="1"/>
      <c r="AQ54" s="1">
        <f>+AN54+AP54</f>
        <v>0</v>
      </c>
    </row>
    <row r="55" spans="3:111" ht="15.75" thickBot="1">
      <c r="C55" s="4"/>
      <c r="AA55" s="207" t="s">
        <v>27</v>
      </c>
      <c r="AB55" s="208"/>
      <c r="AC55" s="209"/>
      <c r="AD55" s="208" t="s">
        <v>28</v>
      </c>
      <c r="AE55" s="208"/>
      <c r="AF55" s="210"/>
      <c r="AT55" s="220" t="s">
        <v>30</v>
      </c>
      <c r="AU55" s="221"/>
      <c r="AV55" s="221"/>
      <c r="AW55" s="221"/>
      <c r="AX55" s="221"/>
      <c r="AY55" s="221"/>
      <c r="AZ55" s="221"/>
      <c r="BA55" s="222"/>
      <c r="BB55" s="220" t="s">
        <v>31</v>
      </c>
      <c r="BC55" s="221"/>
      <c r="BD55" s="221"/>
      <c r="BE55" s="221"/>
      <c r="BF55" s="221"/>
      <c r="BG55" s="221"/>
      <c r="BH55" s="221"/>
      <c r="BI55" s="222"/>
      <c r="BJ55" s="220" t="s">
        <v>32</v>
      </c>
      <c r="BK55" s="221"/>
      <c r="BL55" s="221"/>
      <c r="BM55" s="221"/>
      <c r="BN55" s="221"/>
      <c r="BO55" s="221"/>
      <c r="BP55" s="221"/>
      <c r="BQ55" s="222"/>
      <c r="BR55" s="220" t="s">
        <v>33</v>
      </c>
      <c r="BS55" s="221"/>
      <c r="BT55" s="221"/>
      <c r="BU55" s="221"/>
      <c r="BV55" s="221"/>
      <c r="BW55" s="221"/>
      <c r="BX55" s="221"/>
      <c r="BY55" s="222"/>
      <c r="BZ55" s="225" t="s">
        <v>34</v>
      </c>
      <c r="CA55" s="226"/>
      <c r="CB55" s="226"/>
      <c r="CC55" s="226"/>
      <c r="CD55" s="226"/>
      <c r="CE55" s="226"/>
      <c r="CF55" s="226"/>
      <c r="CG55" s="226"/>
      <c r="CH55" s="227"/>
      <c r="CI55" s="65"/>
      <c r="CJ55" s="65"/>
      <c r="CK55" s="65"/>
      <c r="CL55" s="220">
        <v>1</v>
      </c>
      <c r="CM55" s="221"/>
      <c r="CN55" s="221"/>
      <c r="CO55" s="222"/>
      <c r="CP55" s="228">
        <v>2</v>
      </c>
      <c r="CQ55" s="226"/>
      <c r="CR55" s="226"/>
      <c r="CS55" s="229"/>
      <c r="CT55" s="220">
        <v>3</v>
      </c>
      <c r="CU55" s="221"/>
      <c r="CV55" s="221"/>
      <c r="CW55" s="222"/>
      <c r="CX55" s="220">
        <v>4</v>
      </c>
      <c r="CY55" s="221"/>
      <c r="CZ55" s="221"/>
      <c r="DA55" s="222"/>
      <c r="DB55" s="220" t="s">
        <v>35</v>
      </c>
      <c r="DC55" s="221"/>
      <c r="DD55" s="221"/>
      <c r="DE55" s="221"/>
      <c r="DF55" s="221"/>
      <c r="DG55" s="222"/>
    </row>
    <row r="56" spans="3:111" ht="15" customHeight="1" thickBot="1">
      <c r="C56" s="203" t="s">
        <v>142</v>
      </c>
      <c r="D56" s="204"/>
      <c r="L56" s="3"/>
      <c r="N56" s="2"/>
      <c r="O56" s="28" t="s">
        <v>38</v>
      </c>
      <c r="P56" s="198" t="s">
        <v>39</v>
      </c>
      <c r="Q56" s="198" t="s">
        <v>40</v>
      </c>
      <c r="R56" s="198" t="s">
        <v>41</v>
      </c>
      <c r="S56" s="30" t="s">
        <v>42</v>
      </c>
      <c r="T56" s="199" t="s">
        <v>43</v>
      </c>
      <c r="U56" s="30" t="s">
        <v>44</v>
      </c>
      <c r="V56" s="30" t="s">
        <v>45</v>
      </c>
      <c r="W56" s="30" t="s">
        <v>46</v>
      </c>
      <c r="X56" s="30" t="s">
        <v>47</v>
      </c>
      <c r="Y56" s="31" t="s">
        <v>48</v>
      </c>
      <c r="Z56" s="31" t="s">
        <v>49</v>
      </c>
      <c r="AA56" s="28" t="s">
        <v>50</v>
      </c>
      <c r="AB56" s="30" t="s">
        <v>51</v>
      </c>
      <c r="AC56" s="107" t="s">
        <v>52</v>
      </c>
      <c r="AD56" s="28" t="s">
        <v>50</v>
      </c>
      <c r="AE56" s="30" t="s">
        <v>51</v>
      </c>
      <c r="AF56" s="107" t="s">
        <v>52</v>
      </c>
      <c r="AG56" s="199" t="s">
        <v>50</v>
      </c>
      <c r="AH56" s="30" t="s">
        <v>51</v>
      </c>
      <c r="AI56" s="30" t="s">
        <v>52</v>
      </c>
      <c r="AJ56" s="30" t="s">
        <v>53</v>
      </c>
      <c r="AK56" s="30" t="s">
        <v>54</v>
      </c>
      <c r="AL56" s="30" t="s">
        <v>55</v>
      </c>
      <c r="AM56" s="30" t="s">
        <v>56</v>
      </c>
      <c r="AN56" s="30" t="s">
        <v>57</v>
      </c>
      <c r="AO56" s="199" t="s">
        <v>58</v>
      </c>
      <c r="AP56" s="31" t="s">
        <v>58</v>
      </c>
      <c r="AQ56" s="32" t="s">
        <v>57</v>
      </c>
      <c r="AR56" s="1" t="s">
        <v>59</v>
      </c>
      <c r="AT56" s="49" t="s">
        <v>43</v>
      </c>
      <c r="AU56" s="29" t="s">
        <v>44</v>
      </c>
      <c r="AV56" s="29" t="s">
        <v>60</v>
      </c>
      <c r="AW56" s="29" t="s">
        <v>61</v>
      </c>
      <c r="AX56" s="29" t="s">
        <v>62</v>
      </c>
      <c r="AY56" s="29" t="s">
        <v>63</v>
      </c>
      <c r="AZ56" s="223" t="s">
        <v>64</v>
      </c>
      <c r="BA56" s="230"/>
      <c r="BB56" s="49" t="s">
        <v>43</v>
      </c>
      <c r="BC56" s="29" t="s">
        <v>44</v>
      </c>
      <c r="BD56" s="29" t="s">
        <v>60</v>
      </c>
      <c r="BE56" s="29"/>
      <c r="BF56" s="29" t="s">
        <v>62</v>
      </c>
      <c r="BG56" s="29" t="s">
        <v>63</v>
      </c>
      <c r="BH56" s="223" t="s">
        <v>64</v>
      </c>
      <c r="BI56" s="230"/>
      <c r="BJ56" s="49" t="s">
        <v>43</v>
      </c>
      <c r="BK56" s="29" t="s">
        <v>44</v>
      </c>
      <c r="BL56" s="29" t="s">
        <v>60</v>
      </c>
      <c r="BM56" s="29" t="s">
        <v>61</v>
      </c>
      <c r="BN56" s="29" t="s">
        <v>62</v>
      </c>
      <c r="BO56" s="29" t="s">
        <v>63</v>
      </c>
      <c r="BP56" s="223" t="s">
        <v>64</v>
      </c>
      <c r="BQ56" s="230"/>
      <c r="BR56" s="49" t="s">
        <v>43</v>
      </c>
      <c r="BS56" s="29" t="s">
        <v>44</v>
      </c>
      <c r="BT56" s="29" t="s">
        <v>60</v>
      </c>
      <c r="BU56" s="29" t="s">
        <v>61</v>
      </c>
      <c r="BV56" s="29" t="s">
        <v>62</v>
      </c>
      <c r="BW56" s="29" t="s">
        <v>63</v>
      </c>
      <c r="BX56" s="223" t="s">
        <v>64</v>
      </c>
      <c r="BY56" s="230"/>
      <c r="BZ56" s="49" t="s">
        <v>43</v>
      </c>
      <c r="CA56" s="29" t="s">
        <v>44</v>
      </c>
      <c r="CB56" s="29" t="s">
        <v>61</v>
      </c>
      <c r="CC56" s="29" t="s">
        <v>65</v>
      </c>
      <c r="CD56" s="29" t="s">
        <v>66</v>
      </c>
      <c r="CE56" s="29" t="s">
        <v>67</v>
      </c>
      <c r="CF56" s="29" t="s">
        <v>68</v>
      </c>
      <c r="CG56" s="29" t="s">
        <v>69</v>
      </c>
      <c r="CH56" s="50"/>
      <c r="CI56" s="66" t="s">
        <v>44</v>
      </c>
      <c r="CJ56" s="66" t="s">
        <v>70</v>
      </c>
      <c r="CK56" s="66" t="s">
        <v>60</v>
      </c>
      <c r="CL56" s="73" t="s">
        <v>71</v>
      </c>
      <c r="CM56" s="74" t="s">
        <v>72</v>
      </c>
      <c r="CN56" s="75" t="s">
        <v>73</v>
      </c>
      <c r="CO56" s="76" t="s">
        <v>73</v>
      </c>
      <c r="CP56" s="74" t="s">
        <v>70</v>
      </c>
      <c r="CQ56" s="75" t="s">
        <v>70</v>
      </c>
      <c r="CR56" s="75" t="s">
        <v>73</v>
      </c>
      <c r="CS56" s="77" t="s">
        <v>73</v>
      </c>
      <c r="CT56" s="73" t="s">
        <v>70</v>
      </c>
      <c r="CU56" s="75" t="s">
        <v>70</v>
      </c>
      <c r="CV56" s="75" t="s">
        <v>73</v>
      </c>
      <c r="CW56" s="76" t="s">
        <v>73</v>
      </c>
      <c r="CX56" s="73" t="s">
        <v>70</v>
      </c>
      <c r="CY56" s="75" t="s">
        <v>70</v>
      </c>
      <c r="CZ56" s="77" t="s">
        <v>73</v>
      </c>
      <c r="DA56" s="76" t="s">
        <v>73</v>
      </c>
      <c r="DB56" s="49" t="s">
        <v>62</v>
      </c>
      <c r="DC56" s="29" t="s">
        <v>63</v>
      </c>
      <c r="DD56" s="223" t="s">
        <v>64</v>
      </c>
      <c r="DE56" s="224"/>
      <c r="DF56" s="29" t="s">
        <v>34</v>
      </c>
      <c r="DG56" s="50" t="s">
        <v>74</v>
      </c>
    </row>
    <row r="57" spans="3:111" ht="15" customHeight="1">
      <c r="C57" s="14" t="s">
        <v>75</v>
      </c>
      <c r="D57" s="22" t="s">
        <v>102</v>
      </c>
      <c r="F57" s="211" t="s">
        <v>77</v>
      </c>
      <c r="G57" s="212"/>
      <c r="H57" s="212"/>
      <c r="I57" s="213"/>
      <c r="L57" s="3"/>
      <c r="N57" s="25" t="s">
        <v>79</v>
      </c>
      <c r="O57" s="40">
        <f>+$D$59</f>
        <v>1</v>
      </c>
      <c r="P57" s="33">
        <f>+H$68</f>
        <v>0</v>
      </c>
      <c r="Q57" s="33">
        <f>+I$68</f>
        <v>0</v>
      </c>
      <c r="R57" s="34" t="s">
        <v>23</v>
      </c>
      <c r="S57" s="33" t="str">
        <f t="shared" ref="S57:S63" si="153">+IF(I$9="N","N","BE")</f>
        <v>BE</v>
      </c>
      <c r="T57" s="33">
        <f>+$D$62</f>
        <v>800</v>
      </c>
      <c r="U57" s="33">
        <f>+$D$63</f>
        <v>2150</v>
      </c>
      <c r="V57" s="96">
        <f>+T57*U57/1000000</f>
        <v>1.72</v>
      </c>
      <c r="W57" s="34">
        <v>92.2</v>
      </c>
      <c r="X57" s="34">
        <v>149.4</v>
      </c>
      <c r="Y57" s="34">
        <v>149.4</v>
      </c>
      <c r="Z57" s="101">
        <f>+$D$70</f>
        <v>1.1000000000000001</v>
      </c>
      <c r="AA57" s="108">
        <v>6.1</v>
      </c>
      <c r="AB57" s="55">
        <v>6.1</v>
      </c>
      <c r="AC57" s="109">
        <v>6.1</v>
      </c>
      <c r="AD57" s="108">
        <v>6.1</v>
      </c>
      <c r="AE57" s="55">
        <v>6.1</v>
      </c>
      <c r="AF57" s="109">
        <v>6.1</v>
      </c>
      <c r="AG57" s="104">
        <f t="shared" ref="AG57:AG78" si="154">+IF($D$12="SI",AD57,AA57)</f>
        <v>6.1</v>
      </c>
      <c r="AH57" s="34">
        <f t="shared" ref="AH57:AH78" si="155">+IF($D$12="SI",AE57,AB57)</f>
        <v>6.1</v>
      </c>
      <c r="AI57" s="101">
        <f t="shared" ref="AI57:AI78" si="156">+IF($D$12="SI",AF57,AC57)</f>
        <v>6.1</v>
      </c>
      <c r="AJ57" s="35">
        <f t="shared" ref="AJ57:AJ63" si="157">+(T57*U57)/1000000-AK57-AL57-AM57</f>
        <v>1.2100233600000001</v>
      </c>
      <c r="AK57" s="35">
        <f t="shared" ref="AK57:AK65" si="158">+(T57*U57-(T57-2*W57)*(U57-2*W57))/1000000</f>
        <v>0.50997663999999987</v>
      </c>
      <c r="AL57" s="35">
        <f t="shared" ref="AL57:AL65" si="159">+(U57-2*W57)/1000000*X57*P57</f>
        <v>0</v>
      </c>
      <c r="AM57" s="35">
        <f t="shared" ref="AM57:AM65" si="160">+(U57-2*W57)/1000000*Y57*Q57</f>
        <v>0</v>
      </c>
      <c r="AN57" s="35">
        <f t="shared" ref="AN57:AN63" si="161">+(Z57*AJ57+AG57*AK57+AL57*AH57+AI57*AM57)/(AJ57+AK57+AL57+AM57)</f>
        <v>2.5824902325581394</v>
      </c>
      <c r="AO57" s="140">
        <f t="shared" ref="AO57:AO62" si="162">+IF(R57="NO",0,IF(S57="BE",0.08,0.06))</f>
        <v>0</v>
      </c>
      <c r="AP57" s="91">
        <f t="shared" ref="AP57:AP63" si="163">+AO57*((T57-2*W57-P57*X57-Q57*Y57)/1000*2+(U57-2*W57)/1000*2*(P57+Q57+1))/(AJ57+AK57+AL57+AM57)</f>
        <v>0</v>
      </c>
      <c r="AQ57" s="94">
        <f>+AN57</f>
        <v>2.5824902325581394</v>
      </c>
      <c r="AR57" s="1">
        <f>+DB57</f>
        <v>4</v>
      </c>
      <c r="AT57" s="49"/>
      <c r="AU57" s="29"/>
      <c r="AV57" s="29"/>
      <c r="AW57" s="48">
        <f t="shared" ref="AW57:AW63" si="164">+AT57*AU57/1000000</f>
        <v>0</v>
      </c>
      <c r="AX57" s="29"/>
      <c r="AY57" s="29"/>
      <c r="AZ57" s="29"/>
      <c r="BA57" s="50"/>
      <c r="BB57" s="49"/>
      <c r="BC57" s="29"/>
      <c r="BD57" s="29"/>
      <c r="BE57" s="48">
        <f t="shared" ref="BE57:BE63" si="165">+BB57*BC57/1000000</f>
        <v>0</v>
      </c>
      <c r="BF57" s="29"/>
      <c r="BG57" s="29"/>
      <c r="BH57" s="29"/>
      <c r="BI57" s="50"/>
      <c r="BJ57" s="49">
        <v>1400</v>
      </c>
      <c r="BK57" s="29">
        <v>1500</v>
      </c>
      <c r="BL57" s="29">
        <v>2</v>
      </c>
      <c r="BM57" s="48">
        <f t="shared" ref="BM57:BM65" si="166">+BJ57*BK57/1000000</f>
        <v>2.1</v>
      </c>
      <c r="BN57" s="29">
        <v>4</v>
      </c>
      <c r="BO57" s="29" t="s">
        <v>80</v>
      </c>
      <c r="BP57" s="29" t="s">
        <v>81</v>
      </c>
      <c r="BQ57" s="50">
        <v>4</v>
      </c>
      <c r="BR57" s="49">
        <v>1600</v>
      </c>
      <c r="BS57" s="29">
        <v>2100</v>
      </c>
      <c r="BT57" s="29">
        <v>2</v>
      </c>
      <c r="BU57" s="48">
        <f t="shared" ref="BU57:BU71" si="167">+BR57*BS57/1000000</f>
        <v>3.36</v>
      </c>
      <c r="BV57" s="29">
        <v>4</v>
      </c>
      <c r="BW57" s="29" t="s">
        <v>82</v>
      </c>
      <c r="BX57" s="29" t="s">
        <v>81</v>
      </c>
      <c r="BY57" s="50">
        <v>2</v>
      </c>
      <c r="BZ57" s="49">
        <v>1400</v>
      </c>
      <c r="CA57" s="29">
        <v>1500</v>
      </c>
      <c r="CB57" s="29">
        <f t="shared" ref="CB57:CB71" si="168">+BZ57*CA57/1000000</f>
        <v>2.1</v>
      </c>
      <c r="CC57" s="29">
        <v>31</v>
      </c>
      <c r="CD57" s="29">
        <v>29</v>
      </c>
      <c r="CE57" s="29">
        <v>34</v>
      </c>
      <c r="CF57" s="29">
        <v>33</v>
      </c>
      <c r="CG57" s="29">
        <f t="shared" ref="CG57:CG71" si="169">+V57/CB57*100</f>
        <v>81.904761904761898</v>
      </c>
      <c r="CH57" s="50">
        <f t="shared" ref="CH57:CH71" si="170">+IF(CG57&lt;150,0,IF(CG57&lt;200,1,IF(CG57&lt;250,2,3)))</f>
        <v>0</v>
      </c>
      <c r="CI57" s="67">
        <f t="shared" ref="CI57:CI66" si="171">+U57</f>
        <v>2150</v>
      </c>
      <c r="CJ57" s="69">
        <f t="shared" ref="CJ57:CJ66" si="172">+V57</f>
        <v>1.72</v>
      </c>
      <c r="CK57" s="71">
        <f>+$J$19</f>
        <v>1</v>
      </c>
      <c r="CL57" s="49" t="str">
        <f t="shared" ref="CL57:CL71" si="173">+IF(OR(CJ57&gt;AW57*1.5,CK57&gt;AV57)=TRUE,"0",AX57)</f>
        <v>0</v>
      </c>
      <c r="CM57" s="29">
        <f t="shared" ref="CM57:CM71" si="174">VALUE(IF(OR(CJ57&gt;AW57*1.5,CK57&gt;AV57)=TRUE,"0",IF(LEN(AY57)=2,MID(AY57,1,1),MID(AY57,2,4))))</f>
        <v>0</v>
      </c>
      <c r="CN57" s="29" t="str">
        <f t="shared" ref="CN57:CN71" si="175">+IF(OR(CI57&gt;AU57,CJ57&gt;AW57,CK57&gt;AV57)=TRUE,"0",AZ57)</f>
        <v>0</v>
      </c>
      <c r="CO57" s="50" t="str">
        <f t="shared" ref="CO57:CO71" si="176">+IF(OR(CI57&gt;AU57,CJ57&gt;AW57,CK57&gt;AV57)=TRUE,"0",BA57)</f>
        <v>0</v>
      </c>
      <c r="CP57" s="195" t="str">
        <f t="shared" ref="CP57:CP71" si="177">+IF(OR(CJ57&gt;BE57*1.5,CK57&gt;BD57)=TRUE,"0",BF57)</f>
        <v>0</v>
      </c>
      <c r="CQ57" s="29">
        <f t="shared" ref="CQ57:CQ71" si="178">VALUE(IF(OR(CJ57&gt;BE57*1.5,CK57&gt;BD57)=TRUE,"0",IF(LEN(BG57)=2,MID(BG57,1,1),MID(BG57,2,4))))</f>
        <v>0</v>
      </c>
      <c r="CR57" s="29" t="str">
        <f t="shared" ref="CR57:CR71" si="179">+IF(OR(CI57&gt;BC57,CJ57&gt;BE57,CK57&gt;BD57)=TRUE,"0",BH57)</f>
        <v>0</v>
      </c>
      <c r="CS57" s="194" t="str">
        <f t="shared" ref="CS57:CS71" si="180">+IF(OR(CI57&gt;BC57,CJ57&gt;BE57,CK57&gt;BD57)=TRUE,"0",BI57)</f>
        <v>0</v>
      </c>
      <c r="CT57" s="49">
        <f t="shared" ref="CT57:CT71" si="181">+IF(OR(CJ57&gt;BM57*1.5,CK57&gt;BL57)=TRUE,"0",BN57)</f>
        <v>4</v>
      </c>
      <c r="CU57" s="29">
        <f t="shared" ref="CU57:CU71" si="182">VALUE(IF(OR(CJ57&gt;BM57*1.5,CK57&gt;BL57)=TRUE,"0",IF(LEN(BO57)=2,MID(BO57,1,1),MID(BO57,2,4))))</f>
        <v>1350</v>
      </c>
      <c r="CV57" s="29" t="str">
        <f t="shared" ref="CV57:CV71" si="183">+IF(OR(CI57&gt;BK57,CJ57&gt;BM57,CK57&gt;BL57)=TRUE,"0",BP57)</f>
        <v>0</v>
      </c>
      <c r="CW57" s="50" t="str">
        <f t="shared" ref="CW57:CW71" si="184">+IF(OR(CI57&gt;BK57,CJ57&gt;BM57,CK57&gt;BL57)=TRUE,"0",BQ57)</f>
        <v>0</v>
      </c>
      <c r="CX57" s="49">
        <f t="shared" ref="CX57:CX71" si="185">+IF(OR(CJ57&gt;BU57*1.5,CK57&gt;BT57)=TRUE,"0",BV57)</f>
        <v>4</v>
      </c>
      <c r="CY57" s="29">
        <f t="shared" ref="CY57:CY71" si="186">VALUE(IF(OR(CJ57&gt;BU57*1.5,CK57&gt;BT57)=TRUE,"0",IF(LEN(BW57)=2,MID(BW57,1,1),MID(BW57,2,4))))</f>
        <v>7</v>
      </c>
      <c r="CZ57" s="29" t="str">
        <f t="shared" ref="CZ57:CZ71" si="187">+IF(OR(CI57&gt;BS57,CJ57&gt;BU57,CK57&gt;BT57)=TRUE,"0",BX57)</f>
        <v>0</v>
      </c>
      <c r="DA57" s="50" t="str">
        <f t="shared" ref="DA57:DA71" si="188">+IF(OR(CI57&gt;BS57,CJ57&gt;BU57,CK57&gt;BT57)=TRUE,"0",BY57)</f>
        <v>0</v>
      </c>
      <c r="DB57" s="49">
        <f t="shared" ref="DB57:DB65" si="189">IF(MAX(CL57,CP57,CT57,CX57)=0,"NPD",MAX(CL57,CP57,CT57,CX57))</f>
        <v>4</v>
      </c>
      <c r="DC57" s="29" t="str">
        <f t="shared" ref="DC57:DC65" si="190">IF(MAX(CM57,CQ57,CU57,CY57)&gt;10,"E"&amp;MAX(CM57,CQ57,CU57,CY57),IF(MAX(CM57,CQ57,CU57,CY57)=0,"NPD",MAX(CM57,CQ57,CU57,CY57)&amp;"A"))</f>
        <v>E1350</v>
      </c>
      <c r="DD57" s="29" t="str">
        <f t="shared" ref="DD57:DD65" si="191">+IF(OR(CN57="C",CR57="C",CV57="C",CZ57="C")=TRUE,"C",IF(OR(CN57="B",CR57="B",CV57="B",CZ57="B")=TRUE,"B",IF(OR(CN57="A",CR57="A",CV57="A",CZ57="A")=TRUE,"A","B")))</f>
        <v>B</v>
      </c>
      <c r="DE57" s="29" t="str">
        <f t="shared" ref="DE57:DE78" si="192">IF(MAX(CO57,CS57,CW57,DA57)=0,"1",MAX(CO57,CS57,CW57,DA57))</f>
        <v>1</v>
      </c>
      <c r="DF57" s="29">
        <f t="shared" ref="DF57:DF71" si="193">+IF(D$22&lt;CD57,"NPD",IF(D$22&lt;CF57,CC57-CH57,CE57-CH57))</f>
        <v>34</v>
      </c>
      <c r="DG57" s="47">
        <f t="shared" ref="DG57:DG71" si="194">+AN57</f>
        <v>2.5824902325581394</v>
      </c>
    </row>
    <row r="58" spans="3:111" ht="15" customHeight="1" thickBot="1">
      <c r="C58" s="15" t="s">
        <v>83</v>
      </c>
      <c r="D58" s="11" t="s">
        <v>84</v>
      </c>
      <c r="F58" s="231" t="s">
        <v>85</v>
      </c>
      <c r="G58" s="216"/>
      <c r="H58" s="216"/>
      <c r="I58" s="217"/>
      <c r="L58" s="3"/>
      <c r="N58" s="26" t="s">
        <v>87</v>
      </c>
      <c r="O58" s="41">
        <f t="shared" ref="O58:O78" si="195">+$D$59</f>
        <v>1</v>
      </c>
      <c r="P58" s="36">
        <f t="shared" ref="P58:P78" si="196">+H$68</f>
        <v>0</v>
      </c>
      <c r="Q58" s="36">
        <f t="shared" ref="Q58:Q78" si="197">+I$68</f>
        <v>0</v>
      </c>
      <c r="R58" s="37" t="s">
        <v>23</v>
      </c>
      <c r="S58" s="37" t="str">
        <f t="shared" si="153"/>
        <v>BE</v>
      </c>
      <c r="T58" s="37">
        <f t="shared" ref="T58:T78" si="198">+$D$62</f>
        <v>800</v>
      </c>
      <c r="U58" s="37">
        <f t="shared" ref="U58:U78" si="199">+$D$63</f>
        <v>2150</v>
      </c>
      <c r="V58" s="97">
        <f t="shared" ref="V58:V78" si="200">+T58*U58/1000000</f>
        <v>1.72</v>
      </c>
      <c r="W58" s="37">
        <v>95.5</v>
      </c>
      <c r="X58" s="37">
        <v>152.30000000000001</v>
      </c>
      <c r="Y58" s="37">
        <v>152.30000000000001</v>
      </c>
      <c r="Z58" s="102">
        <f t="shared" ref="Z58:Z78" si="201">+$D$70</f>
        <v>1.1000000000000001</v>
      </c>
      <c r="AA58" s="110">
        <v>6.1</v>
      </c>
      <c r="AB58" s="56">
        <v>6.2</v>
      </c>
      <c r="AC58" s="111">
        <v>6.2</v>
      </c>
      <c r="AD58" s="110">
        <v>6.1</v>
      </c>
      <c r="AE58" s="56">
        <v>6.2</v>
      </c>
      <c r="AF58" s="111">
        <v>6.2</v>
      </c>
      <c r="AG58" s="105">
        <f t="shared" si="154"/>
        <v>6.1</v>
      </c>
      <c r="AH58" s="37">
        <f t="shared" si="155"/>
        <v>6.2</v>
      </c>
      <c r="AI58" s="102">
        <f t="shared" si="156"/>
        <v>6.2</v>
      </c>
      <c r="AJ58" s="38">
        <f t="shared" si="157"/>
        <v>1.193031</v>
      </c>
      <c r="AK58" s="38">
        <f t="shared" si="158"/>
        <v>0.52696900000000002</v>
      </c>
      <c r="AL58" s="38">
        <f t="shared" si="159"/>
        <v>0</v>
      </c>
      <c r="AM58" s="38">
        <f t="shared" si="160"/>
        <v>0</v>
      </c>
      <c r="AN58" s="38">
        <f t="shared" si="161"/>
        <v>2.6318866279069768</v>
      </c>
      <c r="AO58" s="39">
        <f t="shared" si="162"/>
        <v>0</v>
      </c>
      <c r="AP58" s="92">
        <f t="shared" si="163"/>
        <v>0</v>
      </c>
      <c r="AQ58" s="94">
        <f t="shared" ref="AQ58:AQ78" si="202">+AN58</f>
        <v>2.6318866279069768</v>
      </c>
      <c r="AR58" s="1">
        <f t="shared" ref="AR58:AR78" si="203">+DB58</f>
        <v>4</v>
      </c>
      <c r="AT58" s="49"/>
      <c r="AU58" s="29"/>
      <c r="AV58" s="29"/>
      <c r="AW58" s="48">
        <f t="shared" si="164"/>
        <v>0</v>
      </c>
      <c r="AX58" s="29"/>
      <c r="AY58" s="29"/>
      <c r="AZ58" s="29"/>
      <c r="BA58" s="50"/>
      <c r="BB58" s="49"/>
      <c r="BC58" s="29"/>
      <c r="BD58" s="29"/>
      <c r="BE58" s="48">
        <f t="shared" si="165"/>
        <v>0</v>
      </c>
      <c r="BF58" s="29"/>
      <c r="BG58" s="29"/>
      <c r="BH58" s="29"/>
      <c r="BI58" s="50"/>
      <c r="BJ58" s="49">
        <v>1400</v>
      </c>
      <c r="BK58" s="29">
        <v>1500</v>
      </c>
      <c r="BL58" s="29">
        <v>2</v>
      </c>
      <c r="BM58" s="48">
        <f t="shared" si="166"/>
        <v>2.1</v>
      </c>
      <c r="BN58" s="29">
        <v>4</v>
      </c>
      <c r="BO58" s="29" t="s">
        <v>88</v>
      </c>
      <c r="BP58" s="29" t="s">
        <v>81</v>
      </c>
      <c r="BQ58" s="50">
        <v>4</v>
      </c>
      <c r="BR58" s="49">
        <v>1600</v>
      </c>
      <c r="BS58" s="29">
        <v>2100</v>
      </c>
      <c r="BT58" s="29">
        <v>2</v>
      </c>
      <c r="BU58" s="48">
        <f t="shared" si="167"/>
        <v>3.36</v>
      </c>
      <c r="BV58" s="29">
        <v>4</v>
      </c>
      <c r="BW58" s="29" t="s">
        <v>88</v>
      </c>
      <c r="BX58" s="29" t="s">
        <v>81</v>
      </c>
      <c r="BY58" s="50">
        <v>2</v>
      </c>
      <c r="BZ58" s="49">
        <v>1400</v>
      </c>
      <c r="CA58" s="29">
        <v>1500</v>
      </c>
      <c r="CB58" s="29">
        <f t="shared" si="168"/>
        <v>2.1</v>
      </c>
      <c r="CC58" s="29">
        <v>30</v>
      </c>
      <c r="CD58" s="29">
        <v>29</v>
      </c>
      <c r="CE58" s="29">
        <v>33</v>
      </c>
      <c r="CF58" s="29">
        <v>33</v>
      </c>
      <c r="CG58" s="29">
        <f t="shared" si="169"/>
        <v>81.904761904761898</v>
      </c>
      <c r="CH58" s="50">
        <f t="shared" si="170"/>
        <v>0</v>
      </c>
      <c r="CI58" s="67">
        <f t="shared" si="171"/>
        <v>2150</v>
      </c>
      <c r="CJ58" s="69">
        <f t="shared" si="172"/>
        <v>1.72</v>
      </c>
      <c r="CK58" s="71">
        <f t="shared" ref="CK58:CK78" si="204">+$J$19</f>
        <v>1</v>
      </c>
      <c r="CL58" s="49" t="str">
        <f t="shared" si="173"/>
        <v>0</v>
      </c>
      <c r="CM58" s="29">
        <f t="shared" si="174"/>
        <v>0</v>
      </c>
      <c r="CN58" s="29" t="str">
        <f t="shared" si="175"/>
        <v>0</v>
      </c>
      <c r="CO58" s="50" t="str">
        <f t="shared" si="176"/>
        <v>0</v>
      </c>
      <c r="CP58" s="195" t="str">
        <f t="shared" si="177"/>
        <v>0</v>
      </c>
      <c r="CQ58" s="29">
        <f t="shared" si="178"/>
        <v>0</v>
      </c>
      <c r="CR58" s="29" t="str">
        <f t="shared" si="179"/>
        <v>0</v>
      </c>
      <c r="CS58" s="194" t="str">
        <f t="shared" si="180"/>
        <v>0</v>
      </c>
      <c r="CT58" s="49">
        <f t="shared" si="181"/>
        <v>4</v>
      </c>
      <c r="CU58" s="29">
        <f t="shared" si="182"/>
        <v>9</v>
      </c>
      <c r="CV58" s="29" t="str">
        <f t="shared" si="183"/>
        <v>0</v>
      </c>
      <c r="CW58" s="50" t="str">
        <f t="shared" si="184"/>
        <v>0</v>
      </c>
      <c r="CX58" s="49">
        <f t="shared" si="185"/>
        <v>4</v>
      </c>
      <c r="CY58" s="29">
        <f t="shared" si="186"/>
        <v>9</v>
      </c>
      <c r="CZ58" s="29" t="str">
        <f t="shared" si="187"/>
        <v>0</v>
      </c>
      <c r="DA58" s="50" t="str">
        <f t="shared" si="188"/>
        <v>0</v>
      </c>
      <c r="DB58" s="49">
        <f t="shared" si="189"/>
        <v>4</v>
      </c>
      <c r="DC58" s="29" t="str">
        <f t="shared" si="190"/>
        <v>9A</v>
      </c>
      <c r="DD58" s="29" t="str">
        <f t="shared" si="191"/>
        <v>B</v>
      </c>
      <c r="DE58" s="29" t="str">
        <f t="shared" si="192"/>
        <v>1</v>
      </c>
      <c r="DF58" s="29">
        <f t="shared" si="193"/>
        <v>33</v>
      </c>
      <c r="DG58" s="47">
        <f t="shared" si="194"/>
        <v>2.6318866279069768</v>
      </c>
    </row>
    <row r="59" spans="3:111" ht="15" customHeight="1" thickBot="1">
      <c r="C59" s="15" t="s">
        <v>89</v>
      </c>
      <c r="D59" s="11">
        <v>1</v>
      </c>
      <c r="F59" s="150" t="s">
        <v>90</v>
      </c>
      <c r="G59" s="151">
        <v>0.5</v>
      </c>
      <c r="L59" s="3"/>
      <c r="N59" s="26" t="s">
        <v>92</v>
      </c>
      <c r="O59" s="41">
        <f t="shared" si="195"/>
        <v>1</v>
      </c>
      <c r="P59" s="36">
        <f t="shared" si="196"/>
        <v>0</v>
      </c>
      <c r="Q59" s="36">
        <f t="shared" si="197"/>
        <v>0</v>
      </c>
      <c r="R59" s="37" t="s">
        <v>21</v>
      </c>
      <c r="S59" s="37" t="str">
        <f t="shared" si="153"/>
        <v>BE</v>
      </c>
      <c r="T59" s="37">
        <f t="shared" si="198"/>
        <v>800</v>
      </c>
      <c r="U59" s="37">
        <f t="shared" si="199"/>
        <v>2150</v>
      </c>
      <c r="V59" s="97">
        <f t="shared" si="200"/>
        <v>1.72</v>
      </c>
      <c r="W59" s="37">
        <v>93.5</v>
      </c>
      <c r="X59" s="37">
        <v>143.19999999999999</v>
      </c>
      <c r="Y59" s="37">
        <v>143.19999999999999</v>
      </c>
      <c r="Z59" s="102">
        <f t="shared" si="201"/>
        <v>1.1000000000000001</v>
      </c>
      <c r="AA59" s="110">
        <v>3.5</v>
      </c>
      <c r="AB59" s="56">
        <v>3.5</v>
      </c>
      <c r="AC59" s="111">
        <v>3.5</v>
      </c>
      <c r="AD59" s="110">
        <v>3.2</v>
      </c>
      <c r="AE59" s="56">
        <v>3.3</v>
      </c>
      <c r="AF59" s="111">
        <v>3.3</v>
      </c>
      <c r="AG59" s="105">
        <f t="shared" si="154"/>
        <v>3.2</v>
      </c>
      <c r="AH59" s="37">
        <f t="shared" si="155"/>
        <v>3.3</v>
      </c>
      <c r="AI59" s="102">
        <f t="shared" si="156"/>
        <v>3.3</v>
      </c>
      <c r="AJ59" s="38">
        <f t="shared" si="157"/>
        <v>1.203319</v>
      </c>
      <c r="AK59" s="38">
        <f t="shared" si="158"/>
        <v>0.51668099999999995</v>
      </c>
      <c r="AL59" s="38">
        <f t="shared" si="159"/>
        <v>0</v>
      </c>
      <c r="AM59" s="38">
        <f t="shared" si="160"/>
        <v>0</v>
      </c>
      <c r="AN59" s="38">
        <f t="shared" si="161"/>
        <v>1.730831453488372</v>
      </c>
      <c r="AO59" s="39">
        <f t="shared" si="162"/>
        <v>0.08</v>
      </c>
      <c r="AP59" s="92">
        <f t="shared" si="163"/>
        <v>0.23962790697674421</v>
      </c>
      <c r="AQ59" s="94">
        <f t="shared" si="202"/>
        <v>1.730831453488372</v>
      </c>
      <c r="AR59" s="1">
        <f t="shared" si="203"/>
        <v>4</v>
      </c>
      <c r="AT59" s="49">
        <v>2900</v>
      </c>
      <c r="AU59" s="29">
        <v>2300</v>
      </c>
      <c r="AV59" s="29">
        <v>4</v>
      </c>
      <c r="AW59" s="48">
        <f t="shared" si="164"/>
        <v>6.67</v>
      </c>
      <c r="AX59" s="29">
        <v>4</v>
      </c>
      <c r="AY59" s="29" t="s">
        <v>93</v>
      </c>
      <c r="AZ59" s="29" t="s">
        <v>81</v>
      </c>
      <c r="BA59" s="50">
        <v>1</v>
      </c>
      <c r="BB59" s="49">
        <v>820</v>
      </c>
      <c r="BC59" s="29">
        <v>2100</v>
      </c>
      <c r="BD59" s="29">
        <v>1</v>
      </c>
      <c r="BE59" s="48">
        <f t="shared" si="165"/>
        <v>1.722</v>
      </c>
      <c r="BF59" s="29">
        <v>4</v>
      </c>
      <c r="BG59" s="29" t="s">
        <v>94</v>
      </c>
      <c r="BH59" s="29" t="s">
        <v>81</v>
      </c>
      <c r="BI59" s="50">
        <v>5</v>
      </c>
      <c r="BJ59" s="49">
        <v>1400</v>
      </c>
      <c r="BK59" s="29">
        <v>1500</v>
      </c>
      <c r="BL59" s="29">
        <v>2</v>
      </c>
      <c r="BM59" s="48">
        <f t="shared" si="166"/>
        <v>2.1</v>
      </c>
      <c r="BN59" s="29">
        <v>4</v>
      </c>
      <c r="BO59" s="29" t="s">
        <v>95</v>
      </c>
      <c r="BP59" s="29" t="s">
        <v>81</v>
      </c>
      <c r="BQ59" s="50">
        <v>4</v>
      </c>
      <c r="BR59" s="49">
        <v>1600</v>
      </c>
      <c r="BS59" s="29">
        <v>2100</v>
      </c>
      <c r="BT59" s="29">
        <v>2</v>
      </c>
      <c r="BU59" s="48">
        <f t="shared" si="167"/>
        <v>3.36</v>
      </c>
      <c r="BV59" s="29">
        <v>4</v>
      </c>
      <c r="BW59" s="29" t="s">
        <v>82</v>
      </c>
      <c r="BX59" s="29" t="s">
        <v>81</v>
      </c>
      <c r="BY59" s="50">
        <v>2</v>
      </c>
      <c r="BZ59" s="49">
        <v>1400</v>
      </c>
      <c r="CA59" s="29">
        <v>1500</v>
      </c>
      <c r="CB59" s="29">
        <f t="shared" si="168"/>
        <v>2.1</v>
      </c>
      <c r="CC59" s="29">
        <v>33</v>
      </c>
      <c r="CD59" s="29">
        <v>29</v>
      </c>
      <c r="CE59" s="29">
        <v>36</v>
      </c>
      <c r="CF59" s="29">
        <v>33</v>
      </c>
      <c r="CG59" s="29">
        <f t="shared" si="169"/>
        <v>81.904761904761898</v>
      </c>
      <c r="CH59" s="50">
        <f t="shared" si="170"/>
        <v>0</v>
      </c>
      <c r="CI59" s="67">
        <f t="shared" si="171"/>
        <v>2150</v>
      </c>
      <c r="CJ59" s="69">
        <f t="shared" si="172"/>
        <v>1.72</v>
      </c>
      <c r="CK59" s="71">
        <f t="shared" si="204"/>
        <v>1</v>
      </c>
      <c r="CL59" s="49">
        <f t="shared" si="173"/>
        <v>4</v>
      </c>
      <c r="CM59" s="29">
        <f t="shared" si="174"/>
        <v>6</v>
      </c>
      <c r="CN59" s="29" t="str">
        <f t="shared" si="175"/>
        <v>C</v>
      </c>
      <c r="CO59" s="50">
        <f t="shared" si="176"/>
        <v>1</v>
      </c>
      <c r="CP59" s="195">
        <f t="shared" si="177"/>
        <v>4</v>
      </c>
      <c r="CQ59" s="29">
        <f t="shared" si="178"/>
        <v>1050</v>
      </c>
      <c r="CR59" s="29" t="str">
        <f t="shared" si="179"/>
        <v>0</v>
      </c>
      <c r="CS59" s="194" t="str">
        <f t="shared" si="180"/>
        <v>0</v>
      </c>
      <c r="CT59" s="49">
        <f t="shared" si="181"/>
        <v>4</v>
      </c>
      <c r="CU59" s="29">
        <f t="shared" si="182"/>
        <v>8</v>
      </c>
      <c r="CV59" s="29" t="str">
        <f t="shared" si="183"/>
        <v>0</v>
      </c>
      <c r="CW59" s="50" t="str">
        <f t="shared" si="184"/>
        <v>0</v>
      </c>
      <c r="CX59" s="49">
        <f t="shared" si="185"/>
        <v>4</v>
      </c>
      <c r="CY59" s="29">
        <f t="shared" si="186"/>
        <v>7</v>
      </c>
      <c r="CZ59" s="29" t="str">
        <f t="shared" si="187"/>
        <v>0</v>
      </c>
      <c r="DA59" s="50" t="str">
        <f t="shared" si="188"/>
        <v>0</v>
      </c>
      <c r="DB59" s="49">
        <f t="shared" si="189"/>
        <v>4</v>
      </c>
      <c r="DC59" s="29" t="str">
        <f t="shared" si="190"/>
        <v>E1050</v>
      </c>
      <c r="DD59" s="29" t="str">
        <f t="shared" si="191"/>
        <v>C</v>
      </c>
      <c r="DE59" s="29">
        <f t="shared" si="192"/>
        <v>1</v>
      </c>
      <c r="DF59" s="29">
        <f t="shared" si="193"/>
        <v>36</v>
      </c>
      <c r="DG59" s="47">
        <f t="shared" si="194"/>
        <v>1.730831453488372</v>
      </c>
    </row>
    <row r="60" spans="3:111" ht="15" customHeight="1">
      <c r="C60" s="15" t="s">
        <v>96</v>
      </c>
      <c r="D60" s="11" t="s">
        <v>23</v>
      </c>
      <c r="F60" s="126" t="s">
        <v>97</v>
      </c>
      <c r="G60" s="127">
        <v>37</v>
      </c>
      <c r="L60"/>
      <c r="M60" s="18"/>
      <c r="N60" s="26" t="s">
        <v>98</v>
      </c>
      <c r="O60" s="41">
        <f t="shared" si="195"/>
        <v>1</v>
      </c>
      <c r="P60" s="36">
        <f t="shared" si="196"/>
        <v>0</v>
      </c>
      <c r="Q60" s="36">
        <f t="shared" si="197"/>
        <v>0</v>
      </c>
      <c r="R60" s="37" t="s">
        <v>21</v>
      </c>
      <c r="S60" s="37" t="str">
        <f t="shared" si="153"/>
        <v>BE</v>
      </c>
      <c r="T60" s="37">
        <f t="shared" si="198"/>
        <v>800</v>
      </c>
      <c r="U60" s="37">
        <f t="shared" si="199"/>
        <v>2150</v>
      </c>
      <c r="V60" s="97">
        <f t="shared" si="200"/>
        <v>1.72</v>
      </c>
      <c r="W60" s="37">
        <v>93.5</v>
      </c>
      <c r="X60" s="37">
        <v>143.19999999999999</v>
      </c>
      <c r="Y60" s="37">
        <v>143.19999999999999</v>
      </c>
      <c r="Z60" s="102">
        <f t="shared" si="201"/>
        <v>1.1000000000000001</v>
      </c>
      <c r="AA60" s="110">
        <v>2.8</v>
      </c>
      <c r="AB60" s="56">
        <v>2.8</v>
      </c>
      <c r="AC60" s="111">
        <v>2.8</v>
      </c>
      <c r="AD60" s="110">
        <v>2.5</v>
      </c>
      <c r="AE60" s="56">
        <v>2.5</v>
      </c>
      <c r="AF60" s="111">
        <v>2.5</v>
      </c>
      <c r="AG60" s="105">
        <f t="shared" si="154"/>
        <v>2.5</v>
      </c>
      <c r="AH60" s="37">
        <f t="shared" si="155"/>
        <v>2.5</v>
      </c>
      <c r="AI60" s="102">
        <f t="shared" si="156"/>
        <v>2.5</v>
      </c>
      <c r="AJ60" s="38">
        <f t="shared" si="157"/>
        <v>1.203319</v>
      </c>
      <c r="AK60" s="38">
        <f t="shared" si="158"/>
        <v>0.51668099999999995</v>
      </c>
      <c r="AL60" s="38">
        <f t="shared" si="159"/>
        <v>0</v>
      </c>
      <c r="AM60" s="38">
        <f t="shared" si="160"/>
        <v>0</v>
      </c>
      <c r="AN60" s="38">
        <f t="shared" si="161"/>
        <v>1.5205543023255814</v>
      </c>
      <c r="AO60" s="39">
        <f t="shared" si="162"/>
        <v>0.08</v>
      </c>
      <c r="AP60" s="92">
        <f t="shared" si="163"/>
        <v>0.23962790697674421</v>
      </c>
      <c r="AQ60" s="94">
        <f t="shared" si="202"/>
        <v>1.5205543023255814</v>
      </c>
      <c r="AR60" s="1">
        <f t="shared" si="203"/>
        <v>4</v>
      </c>
      <c r="AT60" s="49">
        <v>2900</v>
      </c>
      <c r="AU60" s="29">
        <v>2300</v>
      </c>
      <c r="AV60" s="29">
        <v>4</v>
      </c>
      <c r="AW60" s="48">
        <f t="shared" si="164"/>
        <v>6.67</v>
      </c>
      <c r="AX60" s="29">
        <v>4</v>
      </c>
      <c r="AY60" s="29" t="s">
        <v>93</v>
      </c>
      <c r="AZ60" s="29" t="s">
        <v>81</v>
      </c>
      <c r="BA60" s="50">
        <v>2</v>
      </c>
      <c r="BB60" s="49">
        <v>820</v>
      </c>
      <c r="BC60" s="29">
        <v>2100</v>
      </c>
      <c r="BD60" s="29">
        <v>1</v>
      </c>
      <c r="BE60" s="48">
        <f t="shared" si="165"/>
        <v>1.722</v>
      </c>
      <c r="BF60" s="29">
        <v>4</v>
      </c>
      <c r="BG60" s="29" t="s">
        <v>99</v>
      </c>
      <c r="BH60" s="29" t="s">
        <v>81</v>
      </c>
      <c r="BI60" s="50">
        <v>5</v>
      </c>
      <c r="BJ60" s="49">
        <v>1400</v>
      </c>
      <c r="BK60" s="29">
        <v>1500</v>
      </c>
      <c r="BL60" s="29">
        <v>2</v>
      </c>
      <c r="BM60" s="48">
        <f t="shared" si="166"/>
        <v>2.1</v>
      </c>
      <c r="BN60" s="29">
        <v>4</v>
      </c>
      <c r="BO60" s="29" t="s">
        <v>100</v>
      </c>
      <c r="BP60" s="29" t="s">
        <v>81</v>
      </c>
      <c r="BQ60" s="50">
        <v>4</v>
      </c>
      <c r="BR60" s="49">
        <v>1600</v>
      </c>
      <c r="BS60" s="29">
        <v>2100</v>
      </c>
      <c r="BT60" s="29">
        <v>2</v>
      </c>
      <c r="BU60" s="48">
        <f t="shared" si="167"/>
        <v>3.36</v>
      </c>
      <c r="BV60" s="29">
        <v>4</v>
      </c>
      <c r="BW60" s="29" t="s">
        <v>99</v>
      </c>
      <c r="BX60" s="29" t="s">
        <v>81</v>
      </c>
      <c r="BY60" s="50">
        <v>2</v>
      </c>
      <c r="BZ60" s="49">
        <v>1400</v>
      </c>
      <c r="CA60" s="29">
        <v>1500</v>
      </c>
      <c r="CB60" s="29">
        <f t="shared" si="168"/>
        <v>2.1</v>
      </c>
      <c r="CC60" s="29">
        <v>34</v>
      </c>
      <c r="CD60" s="29">
        <v>29</v>
      </c>
      <c r="CE60" s="29">
        <v>37</v>
      </c>
      <c r="CF60" s="29">
        <v>33</v>
      </c>
      <c r="CG60" s="29">
        <f t="shared" si="169"/>
        <v>81.904761904761898</v>
      </c>
      <c r="CH60" s="50">
        <f t="shared" si="170"/>
        <v>0</v>
      </c>
      <c r="CI60" s="67">
        <f t="shared" si="171"/>
        <v>2150</v>
      </c>
      <c r="CJ60" s="69">
        <f t="shared" si="172"/>
        <v>1.72</v>
      </c>
      <c r="CK60" s="71">
        <f t="shared" si="204"/>
        <v>1</v>
      </c>
      <c r="CL60" s="49">
        <f t="shared" si="173"/>
        <v>4</v>
      </c>
      <c r="CM60" s="29">
        <f t="shared" si="174"/>
        <v>6</v>
      </c>
      <c r="CN60" s="29" t="str">
        <f t="shared" si="175"/>
        <v>C</v>
      </c>
      <c r="CO60" s="50">
        <f t="shared" si="176"/>
        <v>2</v>
      </c>
      <c r="CP60" s="195">
        <f t="shared" si="177"/>
        <v>4</v>
      </c>
      <c r="CQ60" s="29">
        <f t="shared" si="178"/>
        <v>900</v>
      </c>
      <c r="CR60" s="29" t="str">
        <f t="shared" si="179"/>
        <v>0</v>
      </c>
      <c r="CS60" s="194" t="str">
        <f t="shared" si="180"/>
        <v>0</v>
      </c>
      <c r="CT60" s="49">
        <f t="shared" si="181"/>
        <v>4</v>
      </c>
      <c r="CU60" s="29">
        <f t="shared" si="182"/>
        <v>1200</v>
      </c>
      <c r="CV60" s="29" t="str">
        <f t="shared" si="183"/>
        <v>0</v>
      </c>
      <c r="CW60" s="50" t="str">
        <f t="shared" si="184"/>
        <v>0</v>
      </c>
      <c r="CX60" s="49">
        <f t="shared" si="185"/>
        <v>4</v>
      </c>
      <c r="CY60" s="29">
        <f t="shared" si="186"/>
        <v>900</v>
      </c>
      <c r="CZ60" s="29" t="str">
        <f t="shared" si="187"/>
        <v>0</v>
      </c>
      <c r="DA60" s="50" t="str">
        <f t="shared" si="188"/>
        <v>0</v>
      </c>
      <c r="DB60" s="49">
        <f t="shared" si="189"/>
        <v>4</v>
      </c>
      <c r="DC60" s="29" t="str">
        <f t="shared" si="190"/>
        <v>E1200</v>
      </c>
      <c r="DD60" s="29" t="str">
        <f t="shared" si="191"/>
        <v>C</v>
      </c>
      <c r="DE60" s="29">
        <f t="shared" si="192"/>
        <v>2</v>
      </c>
      <c r="DF60" s="29">
        <f t="shared" si="193"/>
        <v>37</v>
      </c>
      <c r="DG60" s="47">
        <f t="shared" si="194"/>
        <v>1.5205543023255814</v>
      </c>
    </row>
    <row r="61" spans="3:111" ht="15" customHeight="1" thickBot="1">
      <c r="C61" s="15" t="s">
        <v>101</v>
      </c>
      <c r="D61" s="11" t="s">
        <v>21</v>
      </c>
      <c r="F61" s="128" t="s">
        <v>49</v>
      </c>
      <c r="G61" s="129">
        <v>1.1000000000000001</v>
      </c>
      <c r="L61" s="19"/>
      <c r="M61" s="19"/>
      <c r="N61" s="26" t="s">
        <v>102</v>
      </c>
      <c r="O61" s="41">
        <f t="shared" si="195"/>
        <v>1</v>
      </c>
      <c r="P61" s="36">
        <f t="shared" si="196"/>
        <v>0</v>
      </c>
      <c r="Q61" s="36">
        <f t="shared" si="197"/>
        <v>0</v>
      </c>
      <c r="R61" s="37" t="s">
        <v>21</v>
      </c>
      <c r="S61" s="37" t="str">
        <f t="shared" si="153"/>
        <v>BE</v>
      </c>
      <c r="T61" s="37">
        <f t="shared" si="198"/>
        <v>800</v>
      </c>
      <c r="U61" s="37">
        <f t="shared" si="199"/>
        <v>2150</v>
      </c>
      <c r="V61" s="97">
        <f t="shared" si="200"/>
        <v>1.72</v>
      </c>
      <c r="W61" s="37">
        <v>93.5</v>
      </c>
      <c r="X61" s="37">
        <v>143.19999999999999</v>
      </c>
      <c r="Y61" s="37">
        <v>143.19999999999999</v>
      </c>
      <c r="Z61" s="102">
        <f t="shared" si="201"/>
        <v>1.1000000000000001</v>
      </c>
      <c r="AA61" s="110">
        <v>2.9</v>
      </c>
      <c r="AB61" s="56">
        <v>3</v>
      </c>
      <c r="AC61" s="111">
        <v>3</v>
      </c>
      <c r="AD61" s="110">
        <v>2.5</v>
      </c>
      <c r="AE61" s="56">
        <v>2.6</v>
      </c>
      <c r="AF61" s="111">
        <v>2.6</v>
      </c>
      <c r="AG61" s="105">
        <f t="shared" si="154"/>
        <v>2.5</v>
      </c>
      <c r="AH61" s="37">
        <f t="shared" si="155"/>
        <v>2.6</v>
      </c>
      <c r="AI61" s="102">
        <f t="shared" si="156"/>
        <v>2.6</v>
      </c>
      <c r="AJ61" s="38">
        <f t="shared" si="157"/>
        <v>1.203319</v>
      </c>
      <c r="AK61" s="38">
        <f t="shared" si="158"/>
        <v>0.51668099999999995</v>
      </c>
      <c r="AL61" s="38">
        <f t="shared" si="159"/>
        <v>0</v>
      </c>
      <c r="AM61" s="38">
        <f t="shared" si="160"/>
        <v>0</v>
      </c>
      <c r="AN61" s="38">
        <f t="shared" si="161"/>
        <v>1.5205543023255814</v>
      </c>
      <c r="AO61" s="39">
        <f t="shared" si="162"/>
        <v>0.08</v>
      </c>
      <c r="AP61" s="92">
        <f t="shared" si="163"/>
        <v>0.23962790697674421</v>
      </c>
      <c r="AQ61" s="94">
        <f t="shared" si="202"/>
        <v>1.5205543023255814</v>
      </c>
      <c r="AR61" s="1">
        <f t="shared" si="203"/>
        <v>4</v>
      </c>
      <c r="AT61" s="49"/>
      <c r="AU61" s="29"/>
      <c r="AV61" s="29"/>
      <c r="AW61" s="48">
        <f t="shared" si="164"/>
        <v>0</v>
      </c>
      <c r="AX61" s="29"/>
      <c r="AY61" s="29"/>
      <c r="AZ61" s="29"/>
      <c r="BA61" s="50"/>
      <c r="BB61" s="49">
        <v>2900</v>
      </c>
      <c r="BC61" s="29">
        <v>2300</v>
      </c>
      <c r="BD61" s="29">
        <v>4</v>
      </c>
      <c r="BE61" s="48">
        <f t="shared" si="165"/>
        <v>6.67</v>
      </c>
      <c r="BF61" s="29">
        <v>4</v>
      </c>
      <c r="BG61" s="29" t="s">
        <v>95</v>
      </c>
      <c r="BH61" s="29" t="s">
        <v>81</v>
      </c>
      <c r="BI61" s="50">
        <v>2</v>
      </c>
      <c r="BJ61" s="49">
        <v>820</v>
      </c>
      <c r="BK61" s="29">
        <v>2100</v>
      </c>
      <c r="BL61" s="29">
        <v>1</v>
      </c>
      <c r="BM61" s="48">
        <f t="shared" si="166"/>
        <v>1.722</v>
      </c>
      <c r="BN61" s="29">
        <v>4</v>
      </c>
      <c r="BO61" s="29" t="s">
        <v>80</v>
      </c>
      <c r="BP61" s="29" t="s">
        <v>81</v>
      </c>
      <c r="BQ61" s="50">
        <v>5</v>
      </c>
      <c r="BR61" s="49">
        <v>1600</v>
      </c>
      <c r="BS61" s="29">
        <v>2100</v>
      </c>
      <c r="BT61" s="29">
        <v>2</v>
      </c>
      <c r="BU61" s="48">
        <f t="shared" si="167"/>
        <v>3.36</v>
      </c>
      <c r="BV61" s="29">
        <v>4</v>
      </c>
      <c r="BW61" s="29" t="s">
        <v>103</v>
      </c>
      <c r="BX61" s="29" t="s">
        <v>81</v>
      </c>
      <c r="BY61" s="50">
        <v>3</v>
      </c>
      <c r="BZ61" s="49">
        <v>1400</v>
      </c>
      <c r="CA61" s="29">
        <v>1500</v>
      </c>
      <c r="CB61" s="29">
        <f t="shared" si="168"/>
        <v>2.1</v>
      </c>
      <c r="CC61" s="29">
        <v>33</v>
      </c>
      <c r="CD61" s="29">
        <v>29</v>
      </c>
      <c r="CE61" s="29">
        <v>37</v>
      </c>
      <c r="CF61" s="29">
        <v>33</v>
      </c>
      <c r="CG61" s="29">
        <f t="shared" si="169"/>
        <v>81.904761904761898</v>
      </c>
      <c r="CH61" s="50">
        <f t="shared" si="170"/>
        <v>0</v>
      </c>
      <c r="CI61" s="67">
        <f t="shared" si="171"/>
        <v>2150</v>
      </c>
      <c r="CJ61" s="69">
        <f t="shared" si="172"/>
        <v>1.72</v>
      </c>
      <c r="CK61" s="71">
        <f t="shared" si="204"/>
        <v>1</v>
      </c>
      <c r="CL61" s="49" t="str">
        <f t="shared" si="173"/>
        <v>0</v>
      </c>
      <c r="CM61" s="29">
        <f t="shared" si="174"/>
        <v>0</v>
      </c>
      <c r="CN61" s="29" t="str">
        <f t="shared" si="175"/>
        <v>0</v>
      </c>
      <c r="CO61" s="50" t="str">
        <f t="shared" si="176"/>
        <v>0</v>
      </c>
      <c r="CP61" s="195">
        <f t="shared" si="177"/>
        <v>4</v>
      </c>
      <c r="CQ61" s="29">
        <f t="shared" si="178"/>
        <v>8</v>
      </c>
      <c r="CR61" s="29" t="str">
        <f t="shared" si="179"/>
        <v>C</v>
      </c>
      <c r="CS61" s="194">
        <f t="shared" si="180"/>
        <v>2</v>
      </c>
      <c r="CT61" s="49">
        <f t="shared" si="181"/>
        <v>4</v>
      </c>
      <c r="CU61" s="29">
        <f t="shared" si="182"/>
        <v>1350</v>
      </c>
      <c r="CV61" s="29" t="str">
        <f t="shared" si="183"/>
        <v>0</v>
      </c>
      <c r="CW61" s="50" t="str">
        <f t="shared" si="184"/>
        <v>0</v>
      </c>
      <c r="CX61" s="49">
        <f t="shared" si="185"/>
        <v>4</v>
      </c>
      <c r="CY61" s="29">
        <f t="shared" si="186"/>
        <v>1500</v>
      </c>
      <c r="CZ61" s="29" t="str">
        <f t="shared" si="187"/>
        <v>0</v>
      </c>
      <c r="DA61" s="50" t="str">
        <f t="shared" si="188"/>
        <v>0</v>
      </c>
      <c r="DB61" s="49">
        <f t="shared" si="189"/>
        <v>4</v>
      </c>
      <c r="DC61" s="29" t="str">
        <f t="shared" si="190"/>
        <v>E1500</v>
      </c>
      <c r="DD61" s="29" t="str">
        <f t="shared" si="191"/>
        <v>C</v>
      </c>
      <c r="DE61" s="29">
        <f t="shared" si="192"/>
        <v>2</v>
      </c>
      <c r="DF61" s="29">
        <f t="shared" si="193"/>
        <v>37</v>
      </c>
      <c r="DG61" s="47">
        <f t="shared" si="194"/>
        <v>1.5205543023255814</v>
      </c>
    </row>
    <row r="62" spans="3:111" ht="15" customHeight="1" thickBot="1">
      <c r="C62" s="16" t="s">
        <v>104</v>
      </c>
      <c r="D62" s="7">
        <v>800</v>
      </c>
      <c r="F62"/>
      <c r="G62"/>
      <c r="H62"/>
      <c r="L62" s="19"/>
      <c r="M62" s="19"/>
      <c r="N62" s="26" t="s">
        <v>105</v>
      </c>
      <c r="O62" s="41">
        <f t="shared" si="195"/>
        <v>1</v>
      </c>
      <c r="P62" s="36">
        <f t="shared" si="196"/>
        <v>0</v>
      </c>
      <c r="Q62" s="36">
        <f t="shared" si="197"/>
        <v>0</v>
      </c>
      <c r="R62" s="37" t="s">
        <v>21</v>
      </c>
      <c r="S62" s="37" t="str">
        <f t="shared" si="153"/>
        <v>BE</v>
      </c>
      <c r="T62" s="37">
        <f t="shared" si="198"/>
        <v>800</v>
      </c>
      <c r="U62" s="37">
        <f t="shared" si="199"/>
        <v>2150</v>
      </c>
      <c r="V62" s="97">
        <f t="shared" si="200"/>
        <v>1.72</v>
      </c>
      <c r="W62" s="60">
        <v>93</v>
      </c>
      <c r="X62" s="60">
        <v>147</v>
      </c>
      <c r="Y62" s="61">
        <v>147</v>
      </c>
      <c r="Z62" s="102">
        <f t="shared" si="201"/>
        <v>1.1000000000000001</v>
      </c>
      <c r="AA62" s="112">
        <v>2.9</v>
      </c>
      <c r="AB62" s="113">
        <v>3</v>
      </c>
      <c r="AC62" s="114">
        <v>3</v>
      </c>
      <c r="AD62" s="112">
        <v>2.5</v>
      </c>
      <c r="AE62" s="113">
        <v>2.6</v>
      </c>
      <c r="AF62" s="114">
        <v>2.6</v>
      </c>
      <c r="AG62" s="61">
        <f t="shared" si="154"/>
        <v>2.5</v>
      </c>
      <c r="AH62" s="61">
        <f t="shared" si="155"/>
        <v>2.6</v>
      </c>
      <c r="AI62" s="102">
        <f t="shared" si="156"/>
        <v>2.6</v>
      </c>
      <c r="AJ62" s="38">
        <f t="shared" si="157"/>
        <v>1.2058960000000001</v>
      </c>
      <c r="AK62" s="38">
        <f t="shared" si="158"/>
        <v>0.51410400000000001</v>
      </c>
      <c r="AL62" s="38">
        <f t="shared" si="159"/>
        <v>0</v>
      </c>
      <c r="AM62" s="38">
        <f t="shared" si="160"/>
        <v>0</v>
      </c>
      <c r="AN62" s="38">
        <f t="shared" si="161"/>
        <v>1.5184567441860466</v>
      </c>
      <c r="AO62" s="39">
        <f t="shared" si="162"/>
        <v>0.08</v>
      </c>
      <c r="AP62" s="92">
        <f t="shared" si="163"/>
        <v>0.23981395348837203</v>
      </c>
      <c r="AQ62" s="94">
        <f t="shared" si="202"/>
        <v>1.5184567441860466</v>
      </c>
      <c r="AR62" s="1">
        <f t="shared" si="203"/>
        <v>4</v>
      </c>
      <c r="AT62" s="49"/>
      <c r="AU62" s="29"/>
      <c r="AV62" s="29"/>
      <c r="AW62" s="48">
        <f t="shared" si="164"/>
        <v>0</v>
      </c>
      <c r="AX62" s="29"/>
      <c r="AY62" s="29"/>
      <c r="AZ62" s="29"/>
      <c r="BA62" s="50"/>
      <c r="BB62" s="49">
        <v>2900</v>
      </c>
      <c r="BC62" s="29">
        <v>2300</v>
      </c>
      <c r="BD62" s="29">
        <v>4</v>
      </c>
      <c r="BE62" s="48">
        <f t="shared" si="165"/>
        <v>6.67</v>
      </c>
      <c r="BF62" s="29">
        <v>4</v>
      </c>
      <c r="BG62" s="29" t="s">
        <v>95</v>
      </c>
      <c r="BH62" s="29" t="s">
        <v>81</v>
      </c>
      <c r="BI62" s="50">
        <v>2</v>
      </c>
      <c r="BJ62" s="49">
        <v>820</v>
      </c>
      <c r="BK62" s="29">
        <v>2100</v>
      </c>
      <c r="BL62" s="29">
        <v>1</v>
      </c>
      <c r="BM62" s="48">
        <f t="shared" si="166"/>
        <v>1.722</v>
      </c>
      <c r="BN62" s="29">
        <v>4</v>
      </c>
      <c r="BO62" s="29" t="s">
        <v>80</v>
      </c>
      <c r="BP62" s="29" t="s">
        <v>81</v>
      </c>
      <c r="BQ62" s="50">
        <v>5</v>
      </c>
      <c r="BR62" s="49">
        <v>1600</v>
      </c>
      <c r="BS62" s="29">
        <v>2100</v>
      </c>
      <c r="BT62" s="29">
        <v>2</v>
      </c>
      <c r="BU62" s="48">
        <f t="shared" si="167"/>
        <v>3.36</v>
      </c>
      <c r="BV62" s="29">
        <v>4</v>
      </c>
      <c r="BW62" s="29" t="s">
        <v>103</v>
      </c>
      <c r="BX62" s="29" t="s">
        <v>81</v>
      </c>
      <c r="BY62" s="50">
        <v>3</v>
      </c>
      <c r="BZ62" s="49">
        <v>1400</v>
      </c>
      <c r="CA62" s="29">
        <v>1500</v>
      </c>
      <c r="CB62" s="29">
        <f t="shared" si="168"/>
        <v>2.1</v>
      </c>
      <c r="CC62" s="29">
        <v>33</v>
      </c>
      <c r="CD62" s="29">
        <v>29</v>
      </c>
      <c r="CE62" s="29">
        <v>37</v>
      </c>
      <c r="CF62" s="29">
        <v>33</v>
      </c>
      <c r="CG62" s="29">
        <f t="shared" si="169"/>
        <v>81.904761904761898</v>
      </c>
      <c r="CH62" s="50">
        <f t="shared" si="170"/>
        <v>0</v>
      </c>
      <c r="CI62" s="67">
        <f t="shared" si="171"/>
        <v>2150</v>
      </c>
      <c r="CJ62" s="69">
        <f t="shared" si="172"/>
        <v>1.72</v>
      </c>
      <c r="CK62" s="71">
        <f t="shared" si="204"/>
        <v>1</v>
      </c>
      <c r="CL62" s="49" t="str">
        <f t="shared" si="173"/>
        <v>0</v>
      </c>
      <c r="CM62" s="29">
        <f t="shared" si="174"/>
        <v>0</v>
      </c>
      <c r="CN62" s="29" t="str">
        <f t="shared" si="175"/>
        <v>0</v>
      </c>
      <c r="CO62" s="50" t="str">
        <f t="shared" si="176"/>
        <v>0</v>
      </c>
      <c r="CP62" s="195">
        <f t="shared" si="177"/>
        <v>4</v>
      </c>
      <c r="CQ62" s="29">
        <f t="shared" si="178"/>
        <v>8</v>
      </c>
      <c r="CR62" s="29" t="str">
        <f t="shared" si="179"/>
        <v>C</v>
      </c>
      <c r="CS62" s="194">
        <f t="shared" si="180"/>
        <v>2</v>
      </c>
      <c r="CT62" s="49">
        <f t="shared" si="181"/>
        <v>4</v>
      </c>
      <c r="CU62" s="29">
        <f t="shared" si="182"/>
        <v>1350</v>
      </c>
      <c r="CV62" s="29" t="str">
        <f t="shared" si="183"/>
        <v>0</v>
      </c>
      <c r="CW62" s="50" t="str">
        <f t="shared" si="184"/>
        <v>0</v>
      </c>
      <c r="CX62" s="49">
        <f t="shared" si="185"/>
        <v>4</v>
      </c>
      <c r="CY62" s="29">
        <f t="shared" si="186"/>
        <v>1500</v>
      </c>
      <c r="CZ62" s="29" t="str">
        <f t="shared" si="187"/>
        <v>0</v>
      </c>
      <c r="DA62" s="50" t="str">
        <f t="shared" si="188"/>
        <v>0</v>
      </c>
      <c r="DB62" s="49">
        <f t="shared" si="189"/>
        <v>4</v>
      </c>
      <c r="DC62" s="29" t="str">
        <f t="shared" si="190"/>
        <v>E1500</v>
      </c>
      <c r="DD62" s="29" t="str">
        <f t="shared" si="191"/>
        <v>C</v>
      </c>
      <c r="DE62" s="29">
        <f t="shared" si="192"/>
        <v>2</v>
      </c>
      <c r="DF62" s="29">
        <f t="shared" si="193"/>
        <v>37</v>
      </c>
      <c r="DG62" s="47">
        <f t="shared" si="194"/>
        <v>1.5184567441860466</v>
      </c>
    </row>
    <row r="63" spans="3:111" ht="15" customHeight="1" thickBot="1">
      <c r="C63" s="16" t="s">
        <v>106</v>
      </c>
      <c r="D63" s="7">
        <v>2150</v>
      </c>
      <c r="F63" s="143" t="s">
        <v>57</v>
      </c>
      <c r="G63" s="95">
        <f>VLOOKUP(D57,N57:AQ78,30,FALSE)</f>
        <v>1.5205543023255814</v>
      </c>
      <c r="H63"/>
      <c r="L63" s="19"/>
      <c r="M63" s="19"/>
      <c r="N63" s="26" t="s">
        <v>107</v>
      </c>
      <c r="O63" s="41">
        <f t="shared" si="195"/>
        <v>1</v>
      </c>
      <c r="P63" s="36">
        <f t="shared" si="196"/>
        <v>0</v>
      </c>
      <c r="Q63" s="36">
        <f t="shared" si="197"/>
        <v>0</v>
      </c>
      <c r="R63" s="37" t="s">
        <v>21</v>
      </c>
      <c r="S63" s="37" t="str">
        <f t="shared" si="153"/>
        <v>BE</v>
      </c>
      <c r="T63" s="37">
        <f t="shared" si="198"/>
        <v>800</v>
      </c>
      <c r="U63" s="37">
        <f t="shared" si="199"/>
        <v>2150</v>
      </c>
      <c r="V63" s="97">
        <f t="shared" si="200"/>
        <v>1.72</v>
      </c>
      <c r="W63" s="60">
        <v>95.5</v>
      </c>
      <c r="X63" s="60">
        <v>147.19999999999999</v>
      </c>
      <c r="Y63" s="61">
        <v>147.19999999999999</v>
      </c>
      <c r="Z63" s="102">
        <f t="shared" si="201"/>
        <v>1.1000000000000001</v>
      </c>
      <c r="AA63" s="112">
        <v>1.9</v>
      </c>
      <c r="AB63" s="113">
        <v>1.9</v>
      </c>
      <c r="AC63" s="114">
        <v>1.9</v>
      </c>
      <c r="AD63" s="112">
        <v>1.6</v>
      </c>
      <c r="AE63" s="113">
        <v>1.6</v>
      </c>
      <c r="AF63" s="114">
        <v>1.6</v>
      </c>
      <c r="AG63" s="61">
        <f t="shared" si="154"/>
        <v>1.6</v>
      </c>
      <c r="AH63" s="61">
        <f t="shared" si="155"/>
        <v>1.6</v>
      </c>
      <c r="AI63" s="102">
        <f t="shared" si="156"/>
        <v>1.6</v>
      </c>
      <c r="AJ63" s="38">
        <f t="shared" si="157"/>
        <v>1.193031</v>
      </c>
      <c r="AK63" s="38">
        <f t="shared" si="158"/>
        <v>0.52696900000000002</v>
      </c>
      <c r="AL63" s="38">
        <f t="shared" si="159"/>
        <v>0</v>
      </c>
      <c r="AM63" s="38">
        <f t="shared" si="160"/>
        <v>0</v>
      </c>
      <c r="AN63" s="38">
        <f t="shared" si="161"/>
        <v>1.2531886627906976</v>
      </c>
      <c r="AO63" s="39">
        <v>3.1E-2</v>
      </c>
      <c r="AP63" s="92">
        <f t="shared" si="163"/>
        <v>9.2567441860465116E-2</v>
      </c>
      <c r="AQ63" s="94">
        <f t="shared" si="202"/>
        <v>1.2531886627906976</v>
      </c>
      <c r="AR63" s="1">
        <f t="shared" si="203"/>
        <v>4</v>
      </c>
      <c r="AT63" s="49"/>
      <c r="AU63" s="29"/>
      <c r="AV63" s="29"/>
      <c r="AW63" s="48">
        <f t="shared" si="164"/>
        <v>0</v>
      </c>
      <c r="AX63" s="29"/>
      <c r="AY63" s="29"/>
      <c r="AZ63" s="29"/>
      <c r="BA63" s="50"/>
      <c r="BB63" s="49">
        <v>2900</v>
      </c>
      <c r="BC63" s="29">
        <v>2300</v>
      </c>
      <c r="BD63" s="29">
        <v>4</v>
      </c>
      <c r="BE63" s="48">
        <f t="shared" si="165"/>
        <v>6.67</v>
      </c>
      <c r="BF63" s="29">
        <v>4</v>
      </c>
      <c r="BG63" s="29" t="s">
        <v>95</v>
      </c>
      <c r="BH63" s="29" t="s">
        <v>81</v>
      </c>
      <c r="BI63" s="50">
        <v>2</v>
      </c>
      <c r="BJ63" s="49">
        <v>820</v>
      </c>
      <c r="BK63" s="29">
        <v>2100</v>
      </c>
      <c r="BL63" s="29">
        <v>1</v>
      </c>
      <c r="BM63" s="48">
        <f t="shared" si="166"/>
        <v>1.722</v>
      </c>
      <c r="BN63" s="29">
        <v>4</v>
      </c>
      <c r="BO63" s="29" t="s">
        <v>80</v>
      </c>
      <c r="BP63" s="29" t="s">
        <v>81</v>
      </c>
      <c r="BQ63" s="50">
        <v>5</v>
      </c>
      <c r="BR63" s="49">
        <v>1600</v>
      </c>
      <c r="BS63" s="29">
        <v>2100</v>
      </c>
      <c r="BT63" s="29">
        <v>2</v>
      </c>
      <c r="BU63" s="48">
        <f t="shared" si="167"/>
        <v>3.36</v>
      </c>
      <c r="BV63" s="29">
        <v>4</v>
      </c>
      <c r="BW63" s="29" t="s">
        <v>103</v>
      </c>
      <c r="BX63" s="29" t="s">
        <v>81</v>
      </c>
      <c r="BY63" s="50">
        <v>3</v>
      </c>
      <c r="BZ63" s="49">
        <v>1400</v>
      </c>
      <c r="CA63" s="29">
        <v>1500</v>
      </c>
      <c r="CB63" s="29">
        <f t="shared" si="168"/>
        <v>2.1</v>
      </c>
      <c r="CC63" s="29">
        <v>33</v>
      </c>
      <c r="CD63" s="29">
        <v>29</v>
      </c>
      <c r="CE63" s="29">
        <v>37</v>
      </c>
      <c r="CF63" s="29">
        <v>33</v>
      </c>
      <c r="CG63" s="29">
        <f t="shared" si="169"/>
        <v>81.904761904761898</v>
      </c>
      <c r="CH63" s="50">
        <f t="shared" si="170"/>
        <v>0</v>
      </c>
      <c r="CI63" s="67">
        <f t="shared" si="171"/>
        <v>2150</v>
      </c>
      <c r="CJ63" s="69">
        <f t="shared" si="172"/>
        <v>1.72</v>
      </c>
      <c r="CK63" s="71">
        <f t="shared" si="204"/>
        <v>1</v>
      </c>
      <c r="CL63" s="49" t="str">
        <f t="shared" si="173"/>
        <v>0</v>
      </c>
      <c r="CM63" s="29">
        <f t="shared" si="174"/>
        <v>0</v>
      </c>
      <c r="CN63" s="29" t="str">
        <f t="shared" si="175"/>
        <v>0</v>
      </c>
      <c r="CO63" s="50" t="str">
        <f t="shared" si="176"/>
        <v>0</v>
      </c>
      <c r="CP63" s="195">
        <f t="shared" si="177"/>
        <v>4</v>
      </c>
      <c r="CQ63" s="29">
        <f t="shared" si="178"/>
        <v>8</v>
      </c>
      <c r="CR63" s="29" t="str">
        <f t="shared" si="179"/>
        <v>C</v>
      </c>
      <c r="CS63" s="194">
        <f t="shared" si="180"/>
        <v>2</v>
      </c>
      <c r="CT63" s="49">
        <f t="shared" si="181"/>
        <v>4</v>
      </c>
      <c r="CU63" s="29">
        <f t="shared" si="182"/>
        <v>1350</v>
      </c>
      <c r="CV63" s="29" t="str">
        <f t="shared" si="183"/>
        <v>0</v>
      </c>
      <c r="CW63" s="50" t="str">
        <f t="shared" si="184"/>
        <v>0</v>
      </c>
      <c r="CX63" s="49">
        <f t="shared" si="185"/>
        <v>4</v>
      </c>
      <c r="CY63" s="29">
        <f t="shared" si="186"/>
        <v>1500</v>
      </c>
      <c r="CZ63" s="29" t="str">
        <f t="shared" si="187"/>
        <v>0</v>
      </c>
      <c r="DA63" s="50" t="str">
        <f t="shared" si="188"/>
        <v>0</v>
      </c>
      <c r="DB63" s="49">
        <f t="shared" si="189"/>
        <v>4</v>
      </c>
      <c r="DC63" s="29" t="str">
        <f t="shared" si="190"/>
        <v>E1500</v>
      </c>
      <c r="DD63" s="29" t="str">
        <f t="shared" si="191"/>
        <v>C</v>
      </c>
      <c r="DE63" s="29">
        <f t="shared" si="192"/>
        <v>2</v>
      </c>
      <c r="DF63" s="29">
        <f t="shared" si="193"/>
        <v>37</v>
      </c>
      <c r="DG63" s="47">
        <f t="shared" si="194"/>
        <v>1.2531886627906976</v>
      </c>
    </row>
    <row r="64" spans="3:111" ht="15" hidden="1" customHeight="1" thickBot="1">
      <c r="C64" s="124"/>
      <c r="D64" s="125"/>
      <c r="F64" s="143" t="s">
        <v>108</v>
      </c>
      <c r="G64" s="145">
        <f>VLOOKUP(D57,N57:AR77,31,FALSE)</f>
        <v>4</v>
      </c>
      <c r="H64"/>
      <c r="L64" s="19"/>
      <c r="M64" s="19"/>
      <c r="N64" s="26"/>
      <c r="O64" s="41"/>
      <c r="P64" s="36"/>
      <c r="Q64" s="36"/>
      <c r="R64" s="37"/>
      <c r="S64" s="37"/>
      <c r="T64" s="37"/>
      <c r="U64" s="37"/>
      <c r="V64" s="97"/>
      <c r="W64" s="60"/>
      <c r="X64" s="60"/>
      <c r="Y64" s="61"/>
      <c r="Z64" s="102"/>
      <c r="AA64" s="112"/>
      <c r="AB64" s="113"/>
      <c r="AC64" s="114"/>
      <c r="AD64" s="112"/>
      <c r="AE64" s="113"/>
      <c r="AF64" s="114"/>
      <c r="AG64" s="61"/>
      <c r="AH64" s="61"/>
      <c r="AI64" s="102"/>
      <c r="AJ64" s="38"/>
      <c r="AK64" s="38"/>
      <c r="AL64" s="38"/>
      <c r="AM64" s="38"/>
      <c r="AN64" s="38"/>
      <c r="AO64" s="39"/>
      <c r="AP64" s="92"/>
      <c r="AQ64" s="94"/>
      <c r="AR64" s="1">
        <f t="shared" si="203"/>
        <v>0</v>
      </c>
      <c r="AT64" s="49"/>
      <c r="AU64" s="29"/>
      <c r="AV64" s="29"/>
      <c r="AW64" s="48"/>
      <c r="AX64" s="29"/>
      <c r="AY64" s="29"/>
      <c r="AZ64" s="29"/>
      <c r="BA64" s="50"/>
      <c r="BB64" s="49"/>
      <c r="BC64" s="29"/>
      <c r="BD64" s="29"/>
      <c r="BE64" s="48"/>
      <c r="BF64" s="29"/>
      <c r="BG64" s="29"/>
      <c r="BH64" s="29"/>
      <c r="BI64" s="50"/>
      <c r="BJ64" s="49"/>
      <c r="BK64" s="29"/>
      <c r="BL64" s="29"/>
      <c r="BM64" s="48"/>
      <c r="BN64" s="29"/>
      <c r="BO64" s="29"/>
      <c r="BP64" s="29"/>
      <c r="BQ64" s="50"/>
      <c r="BR64" s="49"/>
      <c r="BS64" s="29"/>
      <c r="BT64" s="29"/>
      <c r="BU64" s="48"/>
      <c r="BV64" s="29"/>
      <c r="BW64" s="29"/>
      <c r="BX64" s="29"/>
      <c r="BY64" s="50"/>
      <c r="BZ64" s="49"/>
      <c r="CA64" s="29"/>
      <c r="CB64" s="29"/>
      <c r="CC64" s="29"/>
      <c r="CD64" s="29"/>
      <c r="CE64" s="29"/>
      <c r="CF64" s="29"/>
      <c r="CG64" s="29"/>
      <c r="CH64" s="50"/>
      <c r="CI64" s="67"/>
      <c r="CJ64" s="69"/>
      <c r="CK64" s="71"/>
      <c r="CL64" s="49"/>
      <c r="CM64" s="29"/>
      <c r="CN64" s="29"/>
      <c r="CO64" s="50"/>
      <c r="CP64" s="195"/>
      <c r="CQ64" s="29"/>
      <c r="CR64" s="29"/>
      <c r="CS64" s="194"/>
      <c r="CT64" s="49"/>
      <c r="CU64" s="29"/>
      <c r="CV64" s="29"/>
      <c r="CW64" s="50"/>
      <c r="CX64" s="49"/>
      <c r="CY64" s="29"/>
      <c r="CZ64" s="29"/>
      <c r="DA64" s="50"/>
      <c r="DB64" s="49"/>
      <c r="DC64" s="29"/>
      <c r="DD64" s="29"/>
      <c r="DE64" s="29"/>
      <c r="DF64" s="29"/>
      <c r="DG64" s="47"/>
    </row>
    <row r="65" spans="3:111" hidden="1">
      <c r="C65" s="124"/>
      <c r="D65" s="125"/>
      <c r="F65" s="146" t="s">
        <v>110</v>
      </c>
      <c r="G65" s="147" t="str">
        <f>+IF(G63&lt;1.5,"A",IF(G63&lt;2,"B",IF(G63&lt;2.5,"C",IF(G63&lt;2.7,"D",IF(G63&lt;3,"E",IF(G63&lt;3.5,"F","G"))))))</f>
        <v>B</v>
      </c>
      <c r="H65"/>
      <c r="L65" s="19"/>
      <c r="M65" s="19"/>
      <c r="N65" s="26" t="s">
        <v>109</v>
      </c>
      <c r="O65" s="41">
        <f t="shared" si="195"/>
        <v>1</v>
      </c>
      <c r="P65" s="36">
        <f t="shared" si="196"/>
        <v>0</v>
      </c>
      <c r="Q65" s="36">
        <f t="shared" si="197"/>
        <v>0</v>
      </c>
      <c r="R65" s="37" t="s">
        <v>21</v>
      </c>
      <c r="S65" s="37" t="str">
        <f>+IF(I$9="N","N","BE")</f>
        <v>BE</v>
      </c>
      <c r="T65" s="37">
        <f t="shared" si="198"/>
        <v>800</v>
      </c>
      <c r="U65" s="37">
        <f t="shared" si="199"/>
        <v>2150</v>
      </c>
      <c r="V65" s="97">
        <f t="shared" si="200"/>
        <v>1.72</v>
      </c>
      <c r="W65" s="60">
        <v>66.3</v>
      </c>
      <c r="X65" s="60">
        <v>79.5</v>
      </c>
      <c r="Y65" s="61">
        <v>79.5</v>
      </c>
      <c r="Z65" s="102">
        <f t="shared" si="201"/>
        <v>1.1000000000000001</v>
      </c>
      <c r="AA65" s="112">
        <v>3.7</v>
      </c>
      <c r="AB65" s="113">
        <v>3.7</v>
      </c>
      <c r="AC65" s="114">
        <v>3.7</v>
      </c>
      <c r="AD65" s="112">
        <v>3.7</v>
      </c>
      <c r="AE65" s="113">
        <v>3.7</v>
      </c>
      <c r="AF65" s="114">
        <v>3.7</v>
      </c>
      <c r="AG65" s="61">
        <f t="shared" si="154"/>
        <v>3.7</v>
      </c>
      <c r="AH65" s="61">
        <f t="shared" si="155"/>
        <v>3.7</v>
      </c>
      <c r="AI65" s="102">
        <f t="shared" si="156"/>
        <v>3.7</v>
      </c>
      <c r="AJ65" s="38">
        <f>+(T65*U65)/1000000-AK65-AL65-AM65</f>
        <v>1.34641276</v>
      </c>
      <c r="AK65" s="38">
        <f t="shared" si="158"/>
        <v>0.37358723999999999</v>
      </c>
      <c r="AL65" s="38">
        <f t="shared" si="159"/>
        <v>0</v>
      </c>
      <c r="AM65" s="38">
        <f t="shared" si="160"/>
        <v>0</v>
      </c>
      <c r="AN65" s="38">
        <f>+(Z65*AJ65+AG65*AK65+AL65*AH65+AI65*AM65)/(AJ65+AK65+AL65+AM65)</f>
        <v>1.6647248976744189</v>
      </c>
      <c r="AO65" s="39">
        <v>0.08</v>
      </c>
      <c r="AP65" s="92">
        <f>+AO65*((T65-2*W65-P65*X65-Q65*Y65)/1000*2+(U65-2*W65)/1000*2*(P65+Q65+1))/(AJ65+AK65+AL65+AM65)</f>
        <v>0.24974883720930233</v>
      </c>
      <c r="AQ65" s="94">
        <f t="shared" si="202"/>
        <v>1.6647248976744189</v>
      </c>
      <c r="AR65" s="1">
        <f t="shared" si="203"/>
        <v>4</v>
      </c>
      <c r="AT65" s="49"/>
      <c r="AU65" s="29"/>
      <c r="AV65" s="29"/>
      <c r="AW65" s="48"/>
      <c r="AX65" s="29"/>
      <c r="AY65" s="29"/>
      <c r="AZ65" s="29"/>
      <c r="BA65" s="50"/>
      <c r="BB65" s="49"/>
      <c r="BC65" s="29"/>
      <c r="BD65" s="29"/>
      <c r="BE65" s="48"/>
      <c r="BF65" s="29"/>
      <c r="BG65" s="29"/>
      <c r="BH65" s="29"/>
      <c r="BI65" s="50"/>
      <c r="BJ65" s="49">
        <v>1400</v>
      </c>
      <c r="BK65" s="29">
        <v>1500</v>
      </c>
      <c r="BL65" s="29">
        <v>2</v>
      </c>
      <c r="BM65" s="48">
        <f t="shared" si="166"/>
        <v>2.1</v>
      </c>
      <c r="BN65" s="29">
        <v>4</v>
      </c>
      <c r="BO65" s="29" t="s">
        <v>80</v>
      </c>
      <c r="BP65" s="29" t="s">
        <v>81</v>
      </c>
      <c r="BQ65" s="50">
        <v>4</v>
      </c>
      <c r="BR65" s="49">
        <v>1600</v>
      </c>
      <c r="BS65" s="29">
        <v>2100</v>
      </c>
      <c r="BT65" s="29">
        <v>2</v>
      </c>
      <c r="BU65" s="48">
        <f t="shared" si="167"/>
        <v>3.36</v>
      </c>
      <c r="BV65" s="29">
        <v>4</v>
      </c>
      <c r="BW65" s="29" t="s">
        <v>82</v>
      </c>
      <c r="BX65" s="29" t="s">
        <v>81</v>
      </c>
      <c r="BY65" s="50">
        <v>2</v>
      </c>
      <c r="BZ65" s="49">
        <v>1400</v>
      </c>
      <c r="CA65" s="29">
        <v>1500</v>
      </c>
      <c r="CB65" s="29">
        <f t="shared" si="168"/>
        <v>2.1</v>
      </c>
      <c r="CC65" s="29">
        <v>31</v>
      </c>
      <c r="CD65" s="29">
        <v>29</v>
      </c>
      <c r="CE65" s="29">
        <v>34</v>
      </c>
      <c r="CF65" s="29">
        <v>33</v>
      </c>
      <c r="CG65" s="29">
        <f t="shared" si="169"/>
        <v>81.904761904761898</v>
      </c>
      <c r="CH65" s="50">
        <f t="shared" si="170"/>
        <v>0</v>
      </c>
      <c r="CI65" s="67">
        <f t="shared" si="171"/>
        <v>2150</v>
      </c>
      <c r="CJ65" s="69">
        <f t="shared" si="172"/>
        <v>1.72</v>
      </c>
      <c r="CK65" s="71">
        <f>+$J$19</f>
        <v>1</v>
      </c>
      <c r="CL65" s="49" t="str">
        <f t="shared" si="173"/>
        <v>0</v>
      </c>
      <c r="CM65" s="29">
        <f t="shared" si="174"/>
        <v>0</v>
      </c>
      <c r="CN65" s="29" t="str">
        <f t="shared" si="175"/>
        <v>0</v>
      </c>
      <c r="CO65" s="50" t="str">
        <f t="shared" si="176"/>
        <v>0</v>
      </c>
      <c r="CP65" s="195" t="str">
        <f t="shared" si="177"/>
        <v>0</v>
      </c>
      <c r="CQ65" s="29">
        <f t="shared" si="178"/>
        <v>0</v>
      </c>
      <c r="CR65" s="29" t="str">
        <f t="shared" si="179"/>
        <v>0</v>
      </c>
      <c r="CS65" s="194" t="str">
        <f t="shared" si="180"/>
        <v>0</v>
      </c>
      <c r="CT65" s="49">
        <f t="shared" si="181"/>
        <v>4</v>
      </c>
      <c r="CU65" s="29">
        <f t="shared" si="182"/>
        <v>1350</v>
      </c>
      <c r="CV65" s="29" t="str">
        <f t="shared" si="183"/>
        <v>0</v>
      </c>
      <c r="CW65" s="50" t="str">
        <f t="shared" si="184"/>
        <v>0</v>
      </c>
      <c r="CX65" s="49">
        <f t="shared" si="185"/>
        <v>4</v>
      </c>
      <c r="CY65" s="29">
        <f t="shared" si="186"/>
        <v>7</v>
      </c>
      <c r="CZ65" s="29" t="str">
        <f t="shared" si="187"/>
        <v>0</v>
      </c>
      <c r="DA65" s="50" t="str">
        <f t="shared" si="188"/>
        <v>0</v>
      </c>
      <c r="DB65" s="49">
        <f t="shared" si="189"/>
        <v>4</v>
      </c>
      <c r="DC65" s="29" t="str">
        <f t="shared" si="190"/>
        <v>E1350</v>
      </c>
      <c r="DD65" s="29" t="str">
        <f t="shared" si="191"/>
        <v>B</v>
      </c>
      <c r="DE65" s="29" t="str">
        <f t="shared" si="192"/>
        <v>1</v>
      </c>
      <c r="DF65" s="29">
        <f t="shared" si="193"/>
        <v>34</v>
      </c>
      <c r="DG65" s="47">
        <f t="shared" si="194"/>
        <v>1.6647248976744189</v>
      </c>
    </row>
    <row r="66" spans="3:111" ht="15" hidden="1" thickBot="1">
      <c r="C66" s="124"/>
      <c r="D66" s="125"/>
      <c r="F66" s="148" t="s">
        <v>111</v>
      </c>
      <c r="G66" s="149" t="str">
        <f>+IF(G59="","NPD",IF(G59&lt;=0.4,"***",IF(G59&lt;=0.6,"**","*")))</f>
        <v>**</v>
      </c>
      <c r="H66"/>
      <c r="L66" s="19"/>
      <c r="M66" s="19"/>
      <c r="N66" s="26" t="s">
        <v>76</v>
      </c>
      <c r="O66" s="41">
        <f t="shared" si="195"/>
        <v>1</v>
      </c>
      <c r="P66" s="36">
        <f t="shared" si="196"/>
        <v>0</v>
      </c>
      <c r="Q66" s="36">
        <f t="shared" si="197"/>
        <v>0</v>
      </c>
      <c r="R66" s="37" t="s">
        <v>21</v>
      </c>
      <c r="S66" s="37" t="str">
        <f t="shared" ref="S66:S78" si="205">+IF(I$9="N","N","BE")</f>
        <v>BE</v>
      </c>
      <c r="T66" s="37">
        <f t="shared" si="198"/>
        <v>800</v>
      </c>
      <c r="U66" s="37">
        <f t="shared" si="199"/>
        <v>2150</v>
      </c>
      <c r="V66" s="97">
        <f t="shared" si="200"/>
        <v>1.72</v>
      </c>
      <c r="W66" s="60">
        <v>66.3</v>
      </c>
      <c r="X66" s="60">
        <v>79.5</v>
      </c>
      <c r="Y66" s="61">
        <v>79.5</v>
      </c>
      <c r="Z66" s="102">
        <f t="shared" si="201"/>
        <v>1.1000000000000001</v>
      </c>
      <c r="AA66" s="112">
        <v>2.2000000000000002</v>
      </c>
      <c r="AB66" s="113">
        <v>2.2000000000000002</v>
      </c>
      <c r="AC66" s="114">
        <v>2.2000000000000002</v>
      </c>
      <c r="AD66" s="112">
        <v>2</v>
      </c>
      <c r="AE66" s="113">
        <v>2</v>
      </c>
      <c r="AF66" s="114">
        <v>2</v>
      </c>
      <c r="AG66" s="61">
        <f t="shared" si="154"/>
        <v>2</v>
      </c>
      <c r="AH66" s="61">
        <f t="shared" si="155"/>
        <v>2</v>
      </c>
      <c r="AI66" s="102">
        <f t="shared" si="156"/>
        <v>2</v>
      </c>
      <c r="AJ66" s="38">
        <f t="shared" ref="AJ66:AJ78" si="206">+(T66*U66)/1000000-AK66-AL66-AM66</f>
        <v>1.34641276</v>
      </c>
      <c r="AK66" s="38">
        <f t="shared" ref="AK66:AK78" si="207">+(T66*U66-(T66-2*W66)*(U66-2*W66))/1000000</f>
        <v>0.37358723999999999</v>
      </c>
      <c r="AL66" s="38">
        <f t="shared" ref="AL66:AL78" si="208">+(U66-2*W66)/1000000*X66*P66</f>
        <v>0</v>
      </c>
      <c r="AM66" s="38">
        <f t="shared" ref="AM66:AM78" si="209">+(U66-2*W66)/1000000*Y66*Q66</f>
        <v>0</v>
      </c>
      <c r="AN66" s="38">
        <f t="shared" ref="AN66:AN78" si="210">+(Z66*AJ66+AG66*AK66+AL66*AH66+AI66*AM66)/(AJ66+AK66+AL66+AM66)</f>
        <v>1.2954816953488373</v>
      </c>
      <c r="AO66" s="39">
        <f t="shared" ref="AO66:AO75" si="211">+IF(R66="NO",0,IF(S66="BE",0.08,0.06))</f>
        <v>0.08</v>
      </c>
      <c r="AP66" s="92">
        <f t="shared" ref="AP66:AP78" si="212">+AO66*((T66-2*W66-P66*X66-Q66*Y66)/1000*2+(U66-2*W66)/1000*2*(P66+Q66+1))/(AJ66+AK66+AL66+AM66)</f>
        <v>0.24974883720930233</v>
      </c>
      <c r="AQ66" s="94">
        <f>+AN66</f>
        <v>1.2954816953488373</v>
      </c>
      <c r="AR66" s="1">
        <f t="shared" si="203"/>
        <v>4</v>
      </c>
      <c r="AT66" s="49"/>
      <c r="AU66" s="29"/>
      <c r="AV66" s="29"/>
      <c r="AW66" s="48"/>
      <c r="AX66" s="29"/>
      <c r="AY66" s="29"/>
      <c r="AZ66" s="29"/>
      <c r="BA66" s="50"/>
      <c r="BB66" s="49"/>
      <c r="BC66" s="29"/>
      <c r="BD66" s="29"/>
      <c r="BE66" s="48"/>
      <c r="BF66" s="29"/>
      <c r="BG66" s="29"/>
      <c r="BH66" s="29"/>
      <c r="BI66" s="50"/>
      <c r="BJ66" s="49"/>
      <c r="BK66" s="29"/>
      <c r="BL66" s="29"/>
      <c r="BM66" s="48"/>
      <c r="BN66" s="29"/>
      <c r="BO66" s="29"/>
      <c r="BP66" s="29"/>
      <c r="BQ66" s="50"/>
      <c r="BR66" s="49">
        <v>950</v>
      </c>
      <c r="BS66" s="29">
        <v>1480</v>
      </c>
      <c r="BT66" s="29">
        <v>1</v>
      </c>
      <c r="BU66" s="48">
        <f t="shared" si="167"/>
        <v>1.4059999999999999</v>
      </c>
      <c r="BV66" s="29">
        <v>4</v>
      </c>
      <c r="BW66" s="29" t="s">
        <v>103</v>
      </c>
      <c r="BX66" s="29" t="s">
        <v>81</v>
      </c>
      <c r="BY66" s="50">
        <v>5</v>
      </c>
      <c r="BZ66" s="49">
        <v>1230</v>
      </c>
      <c r="CA66" s="29">
        <v>1480</v>
      </c>
      <c r="CB66" s="29">
        <f t="shared" si="168"/>
        <v>1.8204</v>
      </c>
      <c r="CC66" s="29">
        <v>32</v>
      </c>
      <c r="CD66" s="29">
        <v>29</v>
      </c>
      <c r="CE66" s="29">
        <v>35</v>
      </c>
      <c r="CF66" s="29">
        <v>33</v>
      </c>
      <c r="CG66" s="29">
        <f t="shared" si="169"/>
        <v>94.484728631070098</v>
      </c>
      <c r="CH66" s="50">
        <f t="shared" si="170"/>
        <v>0</v>
      </c>
      <c r="CI66" s="67">
        <f t="shared" si="171"/>
        <v>2150</v>
      </c>
      <c r="CJ66" s="69">
        <f t="shared" si="172"/>
        <v>1.72</v>
      </c>
      <c r="CK66" s="71">
        <v>3</v>
      </c>
      <c r="CL66" s="49" t="str">
        <f t="shared" si="173"/>
        <v>0</v>
      </c>
      <c r="CM66" s="29">
        <f t="shared" si="174"/>
        <v>0</v>
      </c>
      <c r="CN66" s="29" t="str">
        <f t="shared" si="175"/>
        <v>0</v>
      </c>
      <c r="CO66" s="50" t="str">
        <f t="shared" si="176"/>
        <v>0</v>
      </c>
      <c r="CP66" s="195" t="str">
        <f t="shared" si="177"/>
        <v>0</v>
      </c>
      <c r="CQ66" s="29">
        <f t="shared" si="178"/>
        <v>0</v>
      </c>
      <c r="CR66" s="29" t="str">
        <f t="shared" si="179"/>
        <v>0</v>
      </c>
      <c r="CS66" s="194" t="str">
        <f t="shared" si="180"/>
        <v>0</v>
      </c>
      <c r="CT66" s="49" t="str">
        <f t="shared" si="181"/>
        <v>0</v>
      </c>
      <c r="CU66" s="29">
        <f t="shared" si="182"/>
        <v>0</v>
      </c>
      <c r="CV66" s="29" t="str">
        <f t="shared" si="183"/>
        <v>0</v>
      </c>
      <c r="CW66" s="50" t="str">
        <f t="shared" si="184"/>
        <v>0</v>
      </c>
      <c r="CX66" s="49" t="str">
        <f t="shared" si="185"/>
        <v>0</v>
      </c>
      <c r="CY66" s="29">
        <f t="shared" si="186"/>
        <v>0</v>
      </c>
      <c r="CZ66" s="29" t="str">
        <f t="shared" si="187"/>
        <v>0</v>
      </c>
      <c r="DA66" s="50" t="str">
        <f t="shared" si="188"/>
        <v>0</v>
      </c>
      <c r="DB66" s="49">
        <v>4</v>
      </c>
      <c r="DC66" s="29" t="s">
        <v>99</v>
      </c>
      <c r="DD66" s="29" t="s">
        <v>81</v>
      </c>
      <c r="DE66" s="29" t="str">
        <f t="shared" si="192"/>
        <v>1</v>
      </c>
      <c r="DF66" s="29">
        <f t="shared" si="193"/>
        <v>35</v>
      </c>
      <c r="DG66" s="47">
        <f t="shared" si="194"/>
        <v>1.2954816953488373</v>
      </c>
    </row>
    <row r="67" spans="3:111" ht="15" hidden="1" thickBot="1">
      <c r="D67" s="20"/>
      <c r="F67" s="82" t="s">
        <v>113</v>
      </c>
      <c r="G67" s="83">
        <f>+VLOOKUP(D57,N57:DG78,96,FALSE)</f>
        <v>2</v>
      </c>
      <c r="H67" s="197" t="s">
        <v>39</v>
      </c>
      <c r="I67" s="196" t="s">
        <v>40</v>
      </c>
      <c r="J67" s="1" t="s">
        <v>114</v>
      </c>
      <c r="L67" s="19"/>
      <c r="M67" s="19"/>
      <c r="N67" s="26" t="s">
        <v>112</v>
      </c>
      <c r="O67" s="41">
        <f t="shared" si="195"/>
        <v>1</v>
      </c>
      <c r="P67" s="36">
        <f t="shared" si="196"/>
        <v>0</v>
      </c>
      <c r="Q67" s="36">
        <f t="shared" si="197"/>
        <v>0</v>
      </c>
      <c r="R67" s="37" t="s">
        <v>21</v>
      </c>
      <c r="S67" s="37" t="str">
        <f t="shared" si="205"/>
        <v>BE</v>
      </c>
      <c r="T67" s="37">
        <f t="shared" si="198"/>
        <v>800</v>
      </c>
      <c r="U67" s="37">
        <f t="shared" si="199"/>
        <v>2150</v>
      </c>
      <c r="V67" s="97">
        <f t="shared" si="200"/>
        <v>1.72</v>
      </c>
      <c r="W67" s="60">
        <v>94.5</v>
      </c>
      <c r="X67" s="60">
        <v>143.1</v>
      </c>
      <c r="Y67" s="61">
        <v>143.1</v>
      </c>
      <c r="Z67" s="102">
        <f t="shared" si="201"/>
        <v>1.1000000000000001</v>
      </c>
      <c r="AA67" s="112">
        <v>3.5</v>
      </c>
      <c r="AB67" s="113">
        <v>3.5</v>
      </c>
      <c r="AC67" s="114">
        <v>3.5</v>
      </c>
      <c r="AD67" s="112">
        <v>3.2</v>
      </c>
      <c r="AE67" s="113">
        <v>3.2</v>
      </c>
      <c r="AF67" s="114">
        <v>3.3</v>
      </c>
      <c r="AG67" s="61">
        <f t="shared" si="154"/>
        <v>3.2</v>
      </c>
      <c r="AH67" s="61">
        <f t="shared" si="155"/>
        <v>3.2</v>
      </c>
      <c r="AI67" s="102">
        <f t="shared" si="156"/>
        <v>3.3</v>
      </c>
      <c r="AJ67" s="38">
        <f t="shared" si="206"/>
        <v>1.1981709999999999</v>
      </c>
      <c r="AK67" s="38">
        <f t="shared" si="207"/>
        <v>0.52182899999999999</v>
      </c>
      <c r="AL67" s="38">
        <f t="shared" si="208"/>
        <v>0</v>
      </c>
      <c r="AM67" s="38">
        <f t="shared" si="209"/>
        <v>0</v>
      </c>
      <c r="AN67" s="38">
        <f t="shared" si="210"/>
        <v>1.7371168023255816</v>
      </c>
      <c r="AO67" s="39">
        <f t="shared" si="211"/>
        <v>0.08</v>
      </c>
      <c r="AP67" s="92">
        <f t="shared" si="212"/>
        <v>0.23925581395348841</v>
      </c>
      <c r="AQ67" s="94">
        <f t="shared" si="202"/>
        <v>1.7371168023255816</v>
      </c>
      <c r="AR67" s="1">
        <f t="shared" si="203"/>
        <v>4</v>
      </c>
      <c r="AT67" s="49"/>
      <c r="AU67" s="29"/>
      <c r="AV67" s="29"/>
      <c r="AW67" s="48"/>
      <c r="AX67" s="29"/>
      <c r="AY67" s="29"/>
      <c r="AZ67" s="29"/>
      <c r="BA67" s="50"/>
      <c r="BB67" s="49"/>
      <c r="BC67" s="29"/>
      <c r="BD67" s="29"/>
      <c r="BE67" s="48"/>
      <c r="BF67" s="29"/>
      <c r="BG67" s="29"/>
      <c r="BH67" s="29"/>
      <c r="BI67" s="50"/>
      <c r="BJ67" s="49"/>
      <c r="BK67" s="29"/>
      <c r="BL67" s="29"/>
      <c r="BM67" s="48"/>
      <c r="BN67" s="29"/>
      <c r="BO67" s="29"/>
      <c r="BP67" s="29"/>
      <c r="BQ67" s="50"/>
      <c r="BR67" s="49">
        <v>950</v>
      </c>
      <c r="BS67" s="29">
        <v>1480</v>
      </c>
      <c r="BT67" s="29">
        <v>1</v>
      </c>
      <c r="BU67" s="48">
        <f t="shared" si="167"/>
        <v>1.4059999999999999</v>
      </c>
      <c r="BV67" s="29">
        <v>4</v>
      </c>
      <c r="BW67" s="29" t="s">
        <v>103</v>
      </c>
      <c r="BX67" s="29" t="s">
        <v>81</v>
      </c>
      <c r="BY67" s="50">
        <v>5</v>
      </c>
      <c r="BZ67" s="49">
        <v>1230</v>
      </c>
      <c r="CA67" s="29">
        <v>1480</v>
      </c>
      <c r="CB67" s="29">
        <f t="shared" si="168"/>
        <v>1.8204</v>
      </c>
      <c r="CC67" s="29">
        <v>32</v>
      </c>
      <c r="CD67" s="29">
        <v>29</v>
      </c>
      <c r="CE67" s="29">
        <v>46</v>
      </c>
      <c r="CF67" s="29">
        <v>40</v>
      </c>
      <c r="CG67" s="29">
        <f t="shared" si="169"/>
        <v>94.484728631070098</v>
      </c>
      <c r="CH67" s="50">
        <f t="shared" si="170"/>
        <v>0</v>
      </c>
      <c r="CI67" s="67">
        <f t="shared" ref="CI67:CI75" si="213">+U67</f>
        <v>2150</v>
      </c>
      <c r="CJ67" s="69">
        <f t="shared" ref="CJ67:CJ75" si="214">+V67</f>
        <v>1.72</v>
      </c>
      <c r="CK67" s="71">
        <v>3</v>
      </c>
      <c r="CL67" s="49" t="str">
        <f t="shared" si="173"/>
        <v>0</v>
      </c>
      <c r="CM67" s="29">
        <f t="shared" si="174"/>
        <v>0</v>
      </c>
      <c r="CN67" s="29" t="str">
        <f t="shared" si="175"/>
        <v>0</v>
      </c>
      <c r="CO67" s="50" t="str">
        <f t="shared" si="176"/>
        <v>0</v>
      </c>
      <c r="CP67" s="195" t="str">
        <f t="shared" si="177"/>
        <v>0</v>
      </c>
      <c r="CQ67" s="29">
        <f t="shared" si="178"/>
        <v>0</v>
      </c>
      <c r="CR67" s="29" t="str">
        <f t="shared" si="179"/>
        <v>0</v>
      </c>
      <c r="CS67" s="194" t="str">
        <f t="shared" si="180"/>
        <v>0</v>
      </c>
      <c r="CT67" s="49" t="str">
        <f t="shared" si="181"/>
        <v>0</v>
      </c>
      <c r="CU67" s="29">
        <f t="shared" si="182"/>
        <v>0</v>
      </c>
      <c r="CV67" s="29" t="str">
        <f t="shared" si="183"/>
        <v>0</v>
      </c>
      <c r="CW67" s="50" t="str">
        <f t="shared" si="184"/>
        <v>0</v>
      </c>
      <c r="CX67" s="49" t="str">
        <f t="shared" si="185"/>
        <v>0</v>
      </c>
      <c r="CY67" s="29">
        <f t="shared" si="186"/>
        <v>0</v>
      </c>
      <c r="CZ67" s="29" t="str">
        <f t="shared" si="187"/>
        <v>0</v>
      </c>
      <c r="DA67" s="50" t="str">
        <f t="shared" si="188"/>
        <v>0</v>
      </c>
      <c r="DB67" s="49">
        <v>4</v>
      </c>
      <c r="DC67" s="29" t="s">
        <v>99</v>
      </c>
      <c r="DD67" s="29" t="s">
        <v>81</v>
      </c>
      <c r="DE67" s="29" t="str">
        <f t="shared" si="192"/>
        <v>1</v>
      </c>
      <c r="DF67" s="29">
        <f t="shared" si="193"/>
        <v>32</v>
      </c>
      <c r="DG67" s="47">
        <f t="shared" si="194"/>
        <v>1.7371168023255816</v>
      </c>
    </row>
    <row r="68" spans="3:111" ht="15" hidden="1" thickBot="1">
      <c r="C68" s="203" t="s">
        <v>143</v>
      </c>
      <c r="D68" s="204"/>
      <c r="F68" s="84" t="s">
        <v>113</v>
      </c>
      <c r="G68" s="85" t="str">
        <f>+VLOOKUP(D57,N57:DG78,95,FALSE)</f>
        <v>C</v>
      </c>
      <c r="H68" s="59">
        <f>+VLOOKUP(D59,J$5:M$10,3,FALSE)</f>
        <v>0</v>
      </c>
      <c r="I68" s="23">
        <f>+VLOOKUP(D59,J$5:M$10,4,FALSE)</f>
        <v>0</v>
      </c>
      <c r="J68" s="62">
        <f>+H68+I68+1</f>
        <v>1</v>
      </c>
      <c r="K68"/>
      <c r="L68" s="19"/>
      <c r="M68" s="19"/>
      <c r="N68" s="26" t="s">
        <v>115</v>
      </c>
      <c r="O68" s="41">
        <f t="shared" si="195"/>
        <v>1</v>
      </c>
      <c r="P68" s="36">
        <f t="shared" si="196"/>
        <v>0</v>
      </c>
      <c r="Q68" s="36">
        <f t="shared" si="197"/>
        <v>0</v>
      </c>
      <c r="R68" s="37" t="s">
        <v>21</v>
      </c>
      <c r="S68" s="37" t="str">
        <f t="shared" si="205"/>
        <v>BE</v>
      </c>
      <c r="T68" s="37">
        <f t="shared" si="198"/>
        <v>800</v>
      </c>
      <c r="U68" s="37">
        <f t="shared" si="199"/>
        <v>2150</v>
      </c>
      <c r="V68" s="97">
        <f t="shared" si="200"/>
        <v>1.72</v>
      </c>
      <c r="W68" s="60">
        <v>94.5</v>
      </c>
      <c r="X68" s="60">
        <v>143.1</v>
      </c>
      <c r="Y68" s="61">
        <v>143.1</v>
      </c>
      <c r="Z68" s="102">
        <f t="shared" si="201"/>
        <v>1.1000000000000001</v>
      </c>
      <c r="AA68" s="112">
        <v>2.9</v>
      </c>
      <c r="AB68" s="113">
        <v>2.9</v>
      </c>
      <c r="AC68" s="114">
        <v>2.9</v>
      </c>
      <c r="AD68" s="112">
        <v>2.9</v>
      </c>
      <c r="AE68" s="113">
        <v>2.9</v>
      </c>
      <c r="AF68" s="114">
        <v>2.9</v>
      </c>
      <c r="AG68" s="61">
        <f t="shared" si="154"/>
        <v>2.9</v>
      </c>
      <c r="AH68" s="61">
        <f t="shared" si="155"/>
        <v>2.9</v>
      </c>
      <c r="AI68" s="102">
        <f t="shared" si="156"/>
        <v>2.9</v>
      </c>
      <c r="AJ68" s="38">
        <f t="shared" si="206"/>
        <v>1.1981709999999999</v>
      </c>
      <c r="AK68" s="38">
        <f t="shared" si="207"/>
        <v>0.52182899999999999</v>
      </c>
      <c r="AL68" s="38">
        <f t="shared" si="208"/>
        <v>0</v>
      </c>
      <c r="AM68" s="38">
        <f t="shared" si="209"/>
        <v>0</v>
      </c>
      <c r="AN68" s="38">
        <f t="shared" si="210"/>
        <v>1.64610011627907</v>
      </c>
      <c r="AO68" s="39">
        <f t="shared" si="211"/>
        <v>0.08</v>
      </c>
      <c r="AP68" s="92">
        <f t="shared" si="212"/>
        <v>0.23925581395348841</v>
      </c>
      <c r="AQ68" s="94">
        <f t="shared" si="202"/>
        <v>1.64610011627907</v>
      </c>
      <c r="AR68" s="1">
        <f t="shared" si="203"/>
        <v>4</v>
      </c>
      <c r="AT68" s="49"/>
      <c r="AU68" s="29"/>
      <c r="AV68" s="29"/>
      <c r="AW68" s="48">
        <f t="shared" ref="AW68:AW75" si="215">+AT68*AU68/1000000</f>
        <v>0</v>
      </c>
      <c r="AX68" s="29"/>
      <c r="AY68" s="29"/>
      <c r="AZ68" s="29"/>
      <c r="BA68" s="50"/>
      <c r="BB68" s="49">
        <v>1340</v>
      </c>
      <c r="BC68" s="29">
        <v>1690</v>
      </c>
      <c r="BD68" s="29">
        <v>3</v>
      </c>
      <c r="BE68" s="48">
        <f t="shared" ref="BE68:BE75" si="216">+BB68*BC68/1000000</f>
        <v>2.2646000000000002</v>
      </c>
      <c r="BF68" s="29">
        <v>4</v>
      </c>
      <c r="BG68" s="29" t="s">
        <v>88</v>
      </c>
      <c r="BH68" s="29" t="s">
        <v>81</v>
      </c>
      <c r="BI68" s="50">
        <v>3</v>
      </c>
      <c r="BJ68" s="49">
        <v>1800</v>
      </c>
      <c r="BK68" s="29">
        <v>2200</v>
      </c>
      <c r="BL68" s="29">
        <v>3</v>
      </c>
      <c r="BM68" s="48">
        <f t="shared" ref="BM68:BM75" si="217">+BJ68*BK68/1000000</f>
        <v>3.96</v>
      </c>
      <c r="BN68" s="29">
        <v>4</v>
      </c>
      <c r="BO68" s="29" t="s">
        <v>95</v>
      </c>
      <c r="BP68" s="29" t="s">
        <v>81</v>
      </c>
      <c r="BQ68" s="50">
        <v>2</v>
      </c>
      <c r="BR68" s="49">
        <v>1880</v>
      </c>
      <c r="BS68" s="29">
        <v>2390</v>
      </c>
      <c r="BT68" s="29">
        <v>3</v>
      </c>
      <c r="BU68" s="48">
        <f t="shared" si="167"/>
        <v>4.4931999999999999</v>
      </c>
      <c r="BV68" s="29">
        <v>4</v>
      </c>
      <c r="BW68" s="29" t="s">
        <v>88</v>
      </c>
      <c r="BX68" s="29" t="s">
        <v>81</v>
      </c>
      <c r="BY68" s="50">
        <v>2</v>
      </c>
      <c r="BZ68" s="49">
        <v>1230</v>
      </c>
      <c r="CA68" s="29">
        <v>1480</v>
      </c>
      <c r="CB68" s="29">
        <f t="shared" si="168"/>
        <v>1.8204</v>
      </c>
      <c r="CC68" s="29">
        <v>32</v>
      </c>
      <c r="CD68" s="29">
        <v>29</v>
      </c>
      <c r="CE68" s="29">
        <v>36</v>
      </c>
      <c r="CF68" s="29">
        <v>36</v>
      </c>
      <c r="CG68" s="29">
        <f t="shared" si="169"/>
        <v>94.484728631070098</v>
      </c>
      <c r="CH68" s="50">
        <f t="shared" si="170"/>
        <v>0</v>
      </c>
      <c r="CI68" s="67">
        <f t="shared" si="213"/>
        <v>2150</v>
      </c>
      <c r="CJ68" s="69">
        <f t="shared" si="214"/>
        <v>1.72</v>
      </c>
      <c r="CK68" s="71">
        <f t="shared" si="204"/>
        <v>1</v>
      </c>
      <c r="CL68" s="49" t="str">
        <f t="shared" si="173"/>
        <v>0</v>
      </c>
      <c r="CM68" s="29">
        <f t="shared" si="174"/>
        <v>0</v>
      </c>
      <c r="CN68" s="29" t="str">
        <f t="shared" si="175"/>
        <v>0</v>
      </c>
      <c r="CO68" s="50" t="str">
        <f t="shared" si="176"/>
        <v>0</v>
      </c>
      <c r="CP68" s="195">
        <f t="shared" si="177"/>
        <v>4</v>
      </c>
      <c r="CQ68" s="29">
        <f t="shared" si="178"/>
        <v>9</v>
      </c>
      <c r="CR68" s="29" t="str">
        <f t="shared" si="179"/>
        <v>0</v>
      </c>
      <c r="CS68" s="194" t="str">
        <f t="shared" si="180"/>
        <v>0</v>
      </c>
      <c r="CT68" s="49">
        <f t="shared" si="181"/>
        <v>4</v>
      </c>
      <c r="CU68" s="29">
        <f t="shared" si="182"/>
        <v>8</v>
      </c>
      <c r="CV68" s="29" t="str">
        <f t="shared" si="183"/>
        <v>C</v>
      </c>
      <c r="CW68" s="50">
        <f t="shared" si="184"/>
        <v>2</v>
      </c>
      <c r="CX68" s="49">
        <f t="shared" si="185"/>
        <v>4</v>
      </c>
      <c r="CY68" s="29">
        <f t="shared" si="186"/>
        <v>9</v>
      </c>
      <c r="CZ68" s="29" t="str">
        <f t="shared" si="187"/>
        <v>C</v>
      </c>
      <c r="DA68" s="50">
        <f t="shared" si="188"/>
        <v>2</v>
      </c>
      <c r="DB68" s="49">
        <f t="shared" ref="DB68:DB78" si="218">IF(MAX(CL68,CP68,CT68,CX68)=0,"NPD",MAX(CL68,CP68,CT68,CX68))</f>
        <v>4</v>
      </c>
      <c r="DC68" s="29" t="str">
        <f t="shared" ref="DC68:DC78" si="219">IF(MAX(CM68,CQ68,CU68,CY68)&gt;10,"E"&amp;MAX(CM68,CQ68,CU68,CY68),IF(MAX(CM68,CQ68,CU68,CY68)=0,"NPD",MAX(CM68,CQ68,CU68,CY68)&amp;"A"))</f>
        <v>9A</v>
      </c>
      <c r="DD68" s="29" t="str">
        <f>+IF(OR(CN68="C",CR68="C",CV68="C",CZ68="C")=TRUE,"C",IF(OR(CN68="B",CR68="B",CV68="B",CZ68="B")=TRUE,"B",IF(OR(CN68="A",CR68="A",CV68="A",CZ68="A")=TRUE,"A","B")))</f>
        <v>C</v>
      </c>
      <c r="DE68" s="29">
        <f t="shared" si="192"/>
        <v>2</v>
      </c>
      <c r="DF68" s="29">
        <f t="shared" si="193"/>
        <v>36</v>
      </c>
      <c r="DG68" s="47">
        <f t="shared" si="194"/>
        <v>1.64610011627907</v>
      </c>
    </row>
    <row r="69" spans="3:111" hidden="1">
      <c r="C69" s="5" t="s">
        <v>77</v>
      </c>
      <c r="D69" s="13" t="str">
        <f>+F58</f>
        <v>4+4 Silence/18/6 Guardian Sun</v>
      </c>
      <c r="F69" s="84" t="s">
        <v>118</v>
      </c>
      <c r="G69" s="85" t="str">
        <f>+VLOOKUP(D57,N57:DG78,94,FALSE)</f>
        <v>E1500</v>
      </c>
      <c r="H69"/>
      <c r="I69"/>
      <c r="K69"/>
      <c r="L69" s="19"/>
      <c r="M69" s="19"/>
      <c r="N69" s="26" t="s">
        <v>117</v>
      </c>
      <c r="O69" s="41">
        <f t="shared" si="195"/>
        <v>1</v>
      </c>
      <c r="P69" s="36">
        <f t="shared" si="196"/>
        <v>0</v>
      </c>
      <c r="Q69" s="36">
        <f t="shared" si="197"/>
        <v>0</v>
      </c>
      <c r="R69" s="37" t="s">
        <v>21</v>
      </c>
      <c r="S69" s="37" t="str">
        <f t="shared" si="205"/>
        <v>BE</v>
      </c>
      <c r="T69" s="37">
        <f t="shared" si="198"/>
        <v>800</v>
      </c>
      <c r="U69" s="37">
        <f t="shared" si="199"/>
        <v>2150</v>
      </c>
      <c r="V69" s="97">
        <f t="shared" si="200"/>
        <v>1.72</v>
      </c>
      <c r="W69" s="60">
        <v>94.5</v>
      </c>
      <c r="X69" s="60">
        <v>143.1</v>
      </c>
      <c r="Y69" s="61">
        <v>143.1</v>
      </c>
      <c r="Z69" s="102">
        <f t="shared" si="201"/>
        <v>1.1000000000000001</v>
      </c>
      <c r="AA69" s="112">
        <v>2.7</v>
      </c>
      <c r="AB69" s="113">
        <v>2.8</v>
      </c>
      <c r="AC69" s="114">
        <v>2.8</v>
      </c>
      <c r="AD69" s="112">
        <v>2.1</v>
      </c>
      <c r="AE69" s="113">
        <v>2.1</v>
      </c>
      <c r="AF69" s="114">
        <v>2.1</v>
      </c>
      <c r="AG69" s="61">
        <f t="shared" si="154"/>
        <v>2.1</v>
      </c>
      <c r="AH69" s="61">
        <f t="shared" si="155"/>
        <v>2.1</v>
      </c>
      <c r="AI69" s="102">
        <f t="shared" si="156"/>
        <v>2.1</v>
      </c>
      <c r="AJ69" s="38">
        <f t="shared" si="206"/>
        <v>1.1981709999999999</v>
      </c>
      <c r="AK69" s="38">
        <f t="shared" si="207"/>
        <v>0.52182899999999999</v>
      </c>
      <c r="AL69" s="38">
        <f t="shared" si="208"/>
        <v>0</v>
      </c>
      <c r="AM69" s="38">
        <f t="shared" si="209"/>
        <v>0</v>
      </c>
      <c r="AN69" s="38">
        <f t="shared" si="210"/>
        <v>1.4033889534883721</v>
      </c>
      <c r="AO69" s="39">
        <f t="shared" si="211"/>
        <v>0.08</v>
      </c>
      <c r="AP69" s="92">
        <f t="shared" si="212"/>
        <v>0.23925581395348841</v>
      </c>
      <c r="AQ69" s="94">
        <f t="shared" si="202"/>
        <v>1.4033889534883721</v>
      </c>
      <c r="AR69" s="1">
        <f t="shared" si="203"/>
        <v>4</v>
      </c>
      <c r="AT69" s="49"/>
      <c r="AU69" s="29"/>
      <c r="AV69" s="29"/>
      <c r="AW69" s="48">
        <f t="shared" si="215"/>
        <v>0</v>
      </c>
      <c r="AX69" s="29"/>
      <c r="AY69" s="29"/>
      <c r="AZ69" s="29"/>
      <c r="BA69" s="50"/>
      <c r="BB69" s="49">
        <v>1200</v>
      </c>
      <c r="BC69" s="29">
        <v>1500</v>
      </c>
      <c r="BD69" s="29">
        <v>3</v>
      </c>
      <c r="BE69" s="48">
        <f t="shared" si="216"/>
        <v>1.8</v>
      </c>
      <c r="BF69" s="29">
        <v>4</v>
      </c>
      <c r="BG69" s="29" t="s">
        <v>100</v>
      </c>
      <c r="BH69" s="29" t="s">
        <v>81</v>
      </c>
      <c r="BI69" s="50">
        <v>5</v>
      </c>
      <c r="BJ69" s="49">
        <v>1350</v>
      </c>
      <c r="BK69" s="29">
        <v>1680</v>
      </c>
      <c r="BL69" s="29">
        <v>3</v>
      </c>
      <c r="BM69" s="48">
        <f t="shared" si="217"/>
        <v>2.2679999999999998</v>
      </c>
      <c r="BN69" s="29">
        <v>3</v>
      </c>
      <c r="BO69" s="29" t="s">
        <v>88</v>
      </c>
      <c r="BP69" s="29" t="s">
        <v>81</v>
      </c>
      <c r="BQ69" s="50">
        <v>5</v>
      </c>
      <c r="BR69" s="49">
        <v>1880</v>
      </c>
      <c r="BS69" s="29">
        <v>2380</v>
      </c>
      <c r="BT69" s="29">
        <v>3</v>
      </c>
      <c r="BU69" s="48">
        <f t="shared" si="167"/>
        <v>4.4744000000000002</v>
      </c>
      <c r="BV69" s="29">
        <v>4</v>
      </c>
      <c r="BW69" s="29" t="s">
        <v>88</v>
      </c>
      <c r="BX69" s="29" t="s">
        <v>81</v>
      </c>
      <c r="BY69" s="50">
        <v>3</v>
      </c>
      <c r="BZ69" s="49">
        <v>1230</v>
      </c>
      <c r="CA69" s="29">
        <v>1480</v>
      </c>
      <c r="CB69" s="29">
        <f t="shared" si="168"/>
        <v>1.8204</v>
      </c>
      <c r="CC69" s="29">
        <v>32</v>
      </c>
      <c r="CD69" s="29">
        <v>29</v>
      </c>
      <c r="CE69" s="29">
        <v>36</v>
      </c>
      <c r="CF69" s="29">
        <v>36</v>
      </c>
      <c r="CG69" s="29">
        <f t="shared" si="169"/>
        <v>94.484728631070098</v>
      </c>
      <c r="CH69" s="50">
        <f t="shared" si="170"/>
        <v>0</v>
      </c>
      <c r="CI69" s="67">
        <f t="shared" si="213"/>
        <v>2150</v>
      </c>
      <c r="CJ69" s="69">
        <f t="shared" si="214"/>
        <v>1.72</v>
      </c>
      <c r="CK69" s="71">
        <f t="shared" si="204"/>
        <v>1</v>
      </c>
      <c r="CL69" s="49" t="str">
        <f t="shared" si="173"/>
        <v>0</v>
      </c>
      <c r="CM69" s="29">
        <f t="shared" si="174"/>
        <v>0</v>
      </c>
      <c r="CN69" s="29" t="str">
        <f t="shared" si="175"/>
        <v>0</v>
      </c>
      <c r="CO69" s="50" t="str">
        <f t="shared" si="176"/>
        <v>0</v>
      </c>
      <c r="CP69" s="195">
        <f t="shared" si="177"/>
        <v>4</v>
      </c>
      <c r="CQ69" s="29">
        <f t="shared" si="178"/>
        <v>1200</v>
      </c>
      <c r="CR69" s="29" t="str">
        <f t="shared" si="179"/>
        <v>0</v>
      </c>
      <c r="CS69" s="194" t="str">
        <f t="shared" si="180"/>
        <v>0</v>
      </c>
      <c r="CT69" s="49">
        <f t="shared" si="181"/>
        <v>3</v>
      </c>
      <c r="CU69" s="29">
        <f t="shared" si="182"/>
        <v>9</v>
      </c>
      <c r="CV69" s="29" t="str">
        <f t="shared" si="183"/>
        <v>0</v>
      </c>
      <c r="CW69" s="50" t="str">
        <f t="shared" si="184"/>
        <v>0</v>
      </c>
      <c r="CX69" s="49">
        <f t="shared" si="185"/>
        <v>4</v>
      </c>
      <c r="CY69" s="29">
        <f t="shared" si="186"/>
        <v>9</v>
      </c>
      <c r="CZ69" s="29" t="str">
        <f t="shared" si="187"/>
        <v>C</v>
      </c>
      <c r="DA69" s="50">
        <f t="shared" si="188"/>
        <v>3</v>
      </c>
      <c r="DB69" s="49">
        <f t="shared" si="218"/>
        <v>4</v>
      </c>
      <c r="DC69" s="29" t="str">
        <f t="shared" si="219"/>
        <v>E1200</v>
      </c>
      <c r="DD69" s="29" t="str">
        <f>+IF(OR(CN69="C",CR69="C",CV69="C",CZ69="C")=TRUE,"C",IF(OR(CN69="B",CR69="B",CV69="B",CZ69="B")=TRUE,"B",IF(OR(CN69="A",CR69="A",CV69="A",CZ69="A")=TRUE,"A","B")))</f>
        <v>C</v>
      </c>
      <c r="DE69" s="29">
        <f t="shared" si="192"/>
        <v>3</v>
      </c>
      <c r="DF69" s="29">
        <f t="shared" si="193"/>
        <v>36</v>
      </c>
      <c r="DG69" s="47">
        <f t="shared" si="194"/>
        <v>1.4033889534883721</v>
      </c>
    </row>
    <row r="70" spans="3:111" hidden="1">
      <c r="C70" s="6" t="s">
        <v>120</v>
      </c>
      <c r="D70" s="12">
        <f>+G61</f>
        <v>1.1000000000000001</v>
      </c>
      <c r="F70" s="84" t="s">
        <v>121</v>
      </c>
      <c r="G70" s="85" t="str">
        <f>+IF(OR(D57=N71,D57=N72,D57=N73,D57=N74,D57=N78)=TRUE,"NPD",IF(D60="SI","APTE","NPD"))</f>
        <v>NPD</v>
      </c>
      <c r="I70" s="1" t="str">
        <f>+IF(OR(D57=N71,D57=N72,D57=N73,D57=N74,D57=N75)=TRUE,"CORREDISSA",IF(D57=N78,"ELEVABLE",IF(D60="SI","OSCIL·LOBATENT","PRACTICABLE")))</f>
        <v>PRACTICABLE</v>
      </c>
      <c r="K70"/>
      <c r="L70" s="19"/>
      <c r="M70" s="19"/>
      <c r="N70" s="26" t="s">
        <v>119</v>
      </c>
      <c r="O70" s="41">
        <f t="shared" si="195"/>
        <v>1</v>
      </c>
      <c r="P70" s="36">
        <f t="shared" si="196"/>
        <v>0</v>
      </c>
      <c r="Q70" s="36">
        <f t="shared" si="197"/>
        <v>0</v>
      </c>
      <c r="R70" s="37" t="s">
        <v>21</v>
      </c>
      <c r="S70" s="37" t="str">
        <f t="shared" si="205"/>
        <v>BE</v>
      </c>
      <c r="T70" s="37">
        <f t="shared" si="198"/>
        <v>800</v>
      </c>
      <c r="U70" s="37">
        <f t="shared" si="199"/>
        <v>2150</v>
      </c>
      <c r="V70" s="97">
        <f t="shared" si="200"/>
        <v>1.72</v>
      </c>
      <c r="W70" s="60">
        <v>98.1</v>
      </c>
      <c r="X70" s="60">
        <v>160.4</v>
      </c>
      <c r="Y70" s="61">
        <v>160.4</v>
      </c>
      <c r="Z70" s="102">
        <f t="shared" si="201"/>
        <v>1.1000000000000001</v>
      </c>
      <c r="AA70" s="112">
        <v>2.7</v>
      </c>
      <c r="AB70" s="113">
        <v>2.8</v>
      </c>
      <c r="AC70" s="114">
        <v>2.8</v>
      </c>
      <c r="AD70" s="112">
        <v>2.5</v>
      </c>
      <c r="AE70" s="113">
        <v>2.5</v>
      </c>
      <c r="AF70" s="114">
        <v>2.5</v>
      </c>
      <c r="AG70" s="61">
        <f t="shared" si="154"/>
        <v>2.5</v>
      </c>
      <c r="AH70" s="61">
        <f t="shared" si="155"/>
        <v>2.5</v>
      </c>
      <c r="AI70" s="102">
        <f t="shared" si="156"/>
        <v>2.5</v>
      </c>
      <c r="AJ70" s="38">
        <f t="shared" si="206"/>
        <v>1.1797044400000001</v>
      </c>
      <c r="AK70" s="38">
        <f t="shared" si="207"/>
        <v>0.54029556000000001</v>
      </c>
      <c r="AL70" s="38">
        <f t="shared" si="208"/>
        <v>0</v>
      </c>
      <c r="AM70" s="38">
        <f t="shared" si="209"/>
        <v>0</v>
      </c>
      <c r="AN70" s="38">
        <f t="shared" si="210"/>
        <v>1.5397754558139534</v>
      </c>
      <c r="AO70" s="39">
        <f t="shared" si="211"/>
        <v>0.08</v>
      </c>
      <c r="AP70" s="92">
        <f t="shared" si="212"/>
        <v>0.23791627906976739</v>
      </c>
      <c r="AQ70" s="94">
        <f t="shared" si="202"/>
        <v>1.5397754558139534</v>
      </c>
      <c r="AR70" s="1">
        <f t="shared" si="203"/>
        <v>4</v>
      </c>
      <c r="AT70" s="49"/>
      <c r="AU70" s="29"/>
      <c r="AV70" s="29"/>
      <c r="AW70" s="48">
        <f t="shared" si="215"/>
        <v>0</v>
      </c>
      <c r="AX70" s="29"/>
      <c r="AY70" s="29"/>
      <c r="AZ70" s="29"/>
      <c r="BA70" s="50"/>
      <c r="BB70" s="49"/>
      <c r="BC70" s="29"/>
      <c r="BD70" s="29"/>
      <c r="BE70" s="48">
        <f t="shared" si="216"/>
        <v>0</v>
      </c>
      <c r="BF70" s="29"/>
      <c r="BG70" s="29"/>
      <c r="BH70" s="29"/>
      <c r="BI70" s="50"/>
      <c r="BJ70" s="49">
        <v>1250</v>
      </c>
      <c r="BK70" s="29">
        <v>1500</v>
      </c>
      <c r="BL70" s="29">
        <v>3</v>
      </c>
      <c r="BM70" s="48">
        <f t="shared" si="217"/>
        <v>1.875</v>
      </c>
      <c r="BN70" s="29">
        <v>4</v>
      </c>
      <c r="BO70" s="29" t="s">
        <v>93</v>
      </c>
      <c r="BP70" s="29" t="s">
        <v>81</v>
      </c>
      <c r="BQ70" s="50">
        <v>5</v>
      </c>
      <c r="BR70" s="49">
        <v>1900</v>
      </c>
      <c r="BS70" s="29">
        <v>2380</v>
      </c>
      <c r="BT70" s="29">
        <v>3</v>
      </c>
      <c r="BU70" s="48">
        <f t="shared" si="167"/>
        <v>4.5220000000000002</v>
      </c>
      <c r="BV70" s="29">
        <v>4</v>
      </c>
      <c r="BW70" s="29" t="s">
        <v>88</v>
      </c>
      <c r="BX70" s="29" t="s">
        <v>81</v>
      </c>
      <c r="BY70" s="50">
        <v>4</v>
      </c>
      <c r="BZ70" s="49">
        <v>1230</v>
      </c>
      <c r="CA70" s="29">
        <v>1480</v>
      </c>
      <c r="CB70" s="29">
        <f t="shared" si="168"/>
        <v>1.8204</v>
      </c>
      <c r="CC70" s="29">
        <v>32</v>
      </c>
      <c r="CD70" s="29">
        <v>29</v>
      </c>
      <c r="CE70" s="29">
        <v>36</v>
      </c>
      <c r="CF70" s="29">
        <v>36</v>
      </c>
      <c r="CG70" s="29">
        <f t="shared" si="169"/>
        <v>94.484728631070098</v>
      </c>
      <c r="CH70" s="50">
        <f t="shared" si="170"/>
        <v>0</v>
      </c>
      <c r="CI70" s="67">
        <f t="shared" si="213"/>
        <v>2150</v>
      </c>
      <c r="CJ70" s="69">
        <f t="shared" si="214"/>
        <v>1.72</v>
      </c>
      <c r="CK70" s="71">
        <f t="shared" si="204"/>
        <v>1</v>
      </c>
      <c r="CL70" s="49" t="str">
        <f t="shared" si="173"/>
        <v>0</v>
      </c>
      <c r="CM70" s="29">
        <f t="shared" si="174"/>
        <v>0</v>
      </c>
      <c r="CN70" s="29" t="str">
        <f t="shared" si="175"/>
        <v>0</v>
      </c>
      <c r="CO70" s="50" t="str">
        <f t="shared" si="176"/>
        <v>0</v>
      </c>
      <c r="CP70" s="195" t="str">
        <f t="shared" si="177"/>
        <v>0</v>
      </c>
      <c r="CQ70" s="29">
        <f t="shared" si="178"/>
        <v>0</v>
      </c>
      <c r="CR70" s="29" t="str">
        <f t="shared" si="179"/>
        <v>0</v>
      </c>
      <c r="CS70" s="194" t="str">
        <f t="shared" si="180"/>
        <v>0</v>
      </c>
      <c r="CT70" s="49">
        <f t="shared" si="181"/>
        <v>4</v>
      </c>
      <c r="CU70" s="29">
        <f t="shared" si="182"/>
        <v>6</v>
      </c>
      <c r="CV70" s="29" t="str">
        <f t="shared" si="183"/>
        <v>0</v>
      </c>
      <c r="CW70" s="50" t="str">
        <f t="shared" si="184"/>
        <v>0</v>
      </c>
      <c r="CX70" s="49">
        <f t="shared" si="185"/>
        <v>4</v>
      </c>
      <c r="CY70" s="29">
        <f t="shared" si="186"/>
        <v>9</v>
      </c>
      <c r="CZ70" s="29" t="str">
        <f t="shared" si="187"/>
        <v>C</v>
      </c>
      <c r="DA70" s="50">
        <f t="shared" si="188"/>
        <v>4</v>
      </c>
      <c r="DB70" s="49">
        <f t="shared" si="218"/>
        <v>4</v>
      </c>
      <c r="DC70" s="29" t="str">
        <f t="shared" si="219"/>
        <v>9A</v>
      </c>
      <c r="DD70" s="29" t="str">
        <f>+IF(OR(CN70="C",CR70="C",CV70="C",CZ70="C")=TRUE,"C",IF(OR(CN70="B",CR70="B",CV70="B",CZ70="B")=TRUE,"B",IF(OR(CN70="A",CR70="A",CV70="A",CZ70="A")=TRUE,"A","B")))</f>
        <v>C</v>
      </c>
      <c r="DE70" s="29">
        <f t="shared" si="192"/>
        <v>4</v>
      </c>
      <c r="DF70" s="29">
        <f t="shared" si="193"/>
        <v>36</v>
      </c>
      <c r="DG70" s="47">
        <f t="shared" si="194"/>
        <v>1.5397754558139534</v>
      </c>
    </row>
    <row r="71" spans="3:111" ht="15" hidden="1" thickBot="1">
      <c r="C71" s="8" t="s">
        <v>123</v>
      </c>
      <c r="D71" s="21">
        <f>+G60</f>
        <v>37</v>
      </c>
      <c r="F71" s="84" t="s">
        <v>124</v>
      </c>
      <c r="G71" s="85">
        <f>+VLOOKUP(D57,N57:DG78,97,FALSE)</f>
        <v>37</v>
      </c>
      <c r="I71"/>
      <c r="K71"/>
      <c r="L71" s="19"/>
      <c r="M71" s="19"/>
      <c r="N71" s="26" t="s">
        <v>122</v>
      </c>
      <c r="O71" s="41">
        <f t="shared" si="195"/>
        <v>1</v>
      </c>
      <c r="P71" s="36">
        <f t="shared" si="196"/>
        <v>0</v>
      </c>
      <c r="Q71" s="36">
        <f t="shared" si="197"/>
        <v>0</v>
      </c>
      <c r="R71" s="37" t="s">
        <v>23</v>
      </c>
      <c r="S71" s="37" t="str">
        <f t="shared" si="205"/>
        <v>BE</v>
      </c>
      <c r="T71" s="37">
        <f t="shared" si="198"/>
        <v>800</v>
      </c>
      <c r="U71" s="37">
        <f t="shared" si="199"/>
        <v>2150</v>
      </c>
      <c r="V71" s="97">
        <f t="shared" si="200"/>
        <v>1.72</v>
      </c>
      <c r="W71" s="37">
        <v>93.6</v>
      </c>
      <c r="X71" s="37">
        <v>62.9</v>
      </c>
      <c r="Y71" s="37"/>
      <c r="Z71" s="102">
        <f t="shared" si="201"/>
        <v>1.1000000000000001</v>
      </c>
      <c r="AA71" s="110">
        <v>6.7</v>
      </c>
      <c r="AB71" s="56">
        <v>6.8</v>
      </c>
      <c r="AC71" s="111"/>
      <c r="AD71" s="110">
        <v>6.7</v>
      </c>
      <c r="AE71" s="56">
        <v>6.8</v>
      </c>
      <c r="AF71" s="111"/>
      <c r="AG71" s="105">
        <f t="shared" si="154"/>
        <v>6.7</v>
      </c>
      <c r="AH71" s="37">
        <f t="shared" si="155"/>
        <v>6.8</v>
      </c>
      <c r="AI71" s="102">
        <f t="shared" si="156"/>
        <v>0</v>
      </c>
      <c r="AJ71" s="38">
        <f t="shared" si="206"/>
        <v>1.2028038399999998</v>
      </c>
      <c r="AK71" s="38">
        <f t="shared" si="207"/>
        <v>0.51719616000000013</v>
      </c>
      <c r="AL71" s="38">
        <f t="shared" si="208"/>
        <v>0</v>
      </c>
      <c r="AM71" s="38">
        <f t="shared" si="209"/>
        <v>0</v>
      </c>
      <c r="AN71" s="38">
        <f t="shared" si="210"/>
        <v>2.7838944744186054</v>
      </c>
      <c r="AO71" s="39">
        <f t="shared" si="211"/>
        <v>0</v>
      </c>
      <c r="AP71" s="92">
        <f t="shared" si="212"/>
        <v>0</v>
      </c>
      <c r="AQ71" s="94">
        <f t="shared" si="202"/>
        <v>2.7838944744186054</v>
      </c>
      <c r="AR71" s="1">
        <f t="shared" si="203"/>
        <v>4</v>
      </c>
      <c r="AT71" s="49"/>
      <c r="AU71" s="29"/>
      <c r="AV71" s="29"/>
      <c r="AW71" s="48">
        <f t="shared" si="215"/>
        <v>0</v>
      </c>
      <c r="AX71" s="29"/>
      <c r="AY71" s="29"/>
      <c r="AZ71" s="29"/>
      <c r="BA71" s="50"/>
      <c r="BB71" s="49"/>
      <c r="BC71" s="29"/>
      <c r="BD71" s="29"/>
      <c r="BE71" s="48">
        <f t="shared" si="216"/>
        <v>0</v>
      </c>
      <c r="BF71" s="29"/>
      <c r="BG71" s="29"/>
      <c r="BH71" s="29"/>
      <c r="BI71" s="50"/>
      <c r="BJ71" s="49">
        <v>2900</v>
      </c>
      <c r="BK71" s="29">
        <v>2300</v>
      </c>
      <c r="BL71" s="29">
        <v>4</v>
      </c>
      <c r="BM71" s="48">
        <f t="shared" si="217"/>
        <v>6.67</v>
      </c>
      <c r="BN71" s="29">
        <v>4</v>
      </c>
      <c r="BO71" s="29" t="s">
        <v>82</v>
      </c>
      <c r="BP71" s="29" t="s">
        <v>81</v>
      </c>
      <c r="BQ71" s="50">
        <v>2</v>
      </c>
      <c r="BR71" s="49">
        <v>1600</v>
      </c>
      <c r="BS71" s="29">
        <v>2100</v>
      </c>
      <c r="BT71" s="29">
        <v>2</v>
      </c>
      <c r="BU71" s="48">
        <f t="shared" si="167"/>
        <v>3.36</v>
      </c>
      <c r="BV71" s="29">
        <v>4</v>
      </c>
      <c r="BW71" s="29" t="s">
        <v>100</v>
      </c>
      <c r="BX71" s="29" t="s">
        <v>81</v>
      </c>
      <c r="BY71" s="50">
        <v>4</v>
      </c>
      <c r="BZ71" s="49">
        <v>1400</v>
      </c>
      <c r="CA71" s="29">
        <v>1500</v>
      </c>
      <c r="CB71" s="29">
        <f t="shared" si="168"/>
        <v>2.1</v>
      </c>
      <c r="CC71" s="29">
        <v>33</v>
      </c>
      <c r="CD71" s="29">
        <v>29</v>
      </c>
      <c r="CE71" s="29">
        <v>37</v>
      </c>
      <c r="CF71" s="29">
        <v>33</v>
      </c>
      <c r="CG71" s="29">
        <f t="shared" si="169"/>
        <v>81.904761904761898</v>
      </c>
      <c r="CH71" s="50">
        <f t="shared" si="170"/>
        <v>0</v>
      </c>
      <c r="CI71" s="67">
        <f t="shared" si="213"/>
        <v>2150</v>
      </c>
      <c r="CJ71" s="69">
        <f t="shared" si="214"/>
        <v>1.72</v>
      </c>
      <c r="CK71" s="71">
        <v>2</v>
      </c>
      <c r="CL71" s="49" t="str">
        <f t="shared" si="173"/>
        <v>0</v>
      </c>
      <c r="CM71" s="29">
        <f t="shared" si="174"/>
        <v>0</v>
      </c>
      <c r="CN71" s="29" t="str">
        <f t="shared" si="175"/>
        <v>0</v>
      </c>
      <c r="CO71" s="50" t="str">
        <f t="shared" si="176"/>
        <v>0</v>
      </c>
      <c r="CP71" s="195" t="str">
        <f t="shared" si="177"/>
        <v>0</v>
      </c>
      <c r="CQ71" s="29">
        <f t="shared" si="178"/>
        <v>0</v>
      </c>
      <c r="CR71" s="29" t="str">
        <f t="shared" si="179"/>
        <v>0</v>
      </c>
      <c r="CS71" s="194" t="str">
        <f t="shared" si="180"/>
        <v>0</v>
      </c>
      <c r="CT71" s="49">
        <f t="shared" si="181"/>
        <v>4</v>
      </c>
      <c r="CU71" s="29">
        <f t="shared" si="182"/>
        <v>7</v>
      </c>
      <c r="CV71" s="29" t="str">
        <f t="shared" si="183"/>
        <v>C</v>
      </c>
      <c r="CW71" s="50">
        <f t="shared" si="184"/>
        <v>2</v>
      </c>
      <c r="CX71" s="49">
        <f t="shared" si="185"/>
        <v>4</v>
      </c>
      <c r="CY71" s="29">
        <f t="shared" si="186"/>
        <v>1200</v>
      </c>
      <c r="CZ71" s="29" t="str">
        <f t="shared" si="187"/>
        <v>0</v>
      </c>
      <c r="DA71" s="50" t="str">
        <f t="shared" si="188"/>
        <v>0</v>
      </c>
      <c r="DB71" s="49">
        <f t="shared" si="218"/>
        <v>4</v>
      </c>
      <c r="DC71" s="29" t="str">
        <f t="shared" si="219"/>
        <v>E1200</v>
      </c>
      <c r="DD71" s="29" t="str">
        <f>+IF(OR(CN71="C",CR71="C",CV71="C",CZ71="C")=TRUE,"C",IF(OR(CN71="B",CR71="B",CV71="B",CZ71="B")=TRUE,"B",IF(OR(CN71="A",CR71="A",CV71="A",CZ71="A")=TRUE,"A","B")))</f>
        <v>C</v>
      </c>
      <c r="DE71" s="29">
        <f t="shared" si="192"/>
        <v>2</v>
      </c>
      <c r="DF71" s="29">
        <f t="shared" si="193"/>
        <v>37</v>
      </c>
      <c r="DG71" s="47">
        <f t="shared" si="194"/>
        <v>2.7838944744186054</v>
      </c>
    </row>
    <row r="72" spans="3:111" hidden="1">
      <c r="F72" s="84" t="s">
        <v>127</v>
      </c>
      <c r="G72" s="86">
        <f>+VLOOKUP(D57,N57:DG78,98,FALSE)</f>
        <v>1.5205543023255814</v>
      </c>
      <c r="I72"/>
      <c r="K72"/>
      <c r="L72" s="19"/>
      <c r="M72" s="19"/>
      <c r="N72" s="26" t="s">
        <v>125</v>
      </c>
      <c r="O72" s="41">
        <f t="shared" si="195"/>
        <v>1</v>
      </c>
      <c r="P72" s="36">
        <f t="shared" si="196"/>
        <v>0</v>
      </c>
      <c r="Q72" s="36">
        <f t="shared" si="197"/>
        <v>0</v>
      </c>
      <c r="R72" s="37" t="s">
        <v>23</v>
      </c>
      <c r="S72" s="37" t="str">
        <f t="shared" si="205"/>
        <v>BE</v>
      </c>
      <c r="T72" s="37">
        <f t="shared" si="198"/>
        <v>800</v>
      </c>
      <c r="U72" s="37">
        <f t="shared" si="199"/>
        <v>2150</v>
      </c>
      <c r="V72" s="97">
        <f t="shared" si="200"/>
        <v>1.72</v>
      </c>
      <c r="W72" s="37">
        <v>98.4</v>
      </c>
      <c r="X72" s="37">
        <v>67.400000000000006</v>
      </c>
      <c r="Y72" s="37">
        <v>140.5</v>
      </c>
      <c r="Z72" s="102">
        <f t="shared" si="201"/>
        <v>1.1000000000000001</v>
      </c>
      <c r="AA72" s="110">
        <v>6.6</v>
      </c>
      <c r="AB72" s="56">
        <v>8.1</v>
      </c>
      <c r="AC72" s="111">
        <v>7</v>
      </c>
      <c r="AD72" s="110">
        <v>6.6</v>
      </c>
      <c r="AE72" s="56">
        <v>8.1</v>
      </c>
      <c r="AF72" s="111">
        <v>7</v>
      </c>
      <c r="AG72" s="105">
        <f t="shared" si="154"/>
        <v>6.6</v>
      </c>
      <c r="AH72" s="37">
        <f t="shared" si="155"/>
        <v>8.1</v>
      </c>
      <c r="AI72" s="102">
        <f t="shared" si="156"/>
        <v>7</v>
      </c>
      <c r="AJ72" s="38">
        <f t="shared" si="206"/>
        <v>1.17817024</v>
      </c>
      <c r="AK72" s="38">
        <f t="shared" si="207"/>
        <v>0.54182975999999983</v>
      </c>
      <c r="AL72" s="38">
        <f t="shared" si="208"/>
        <v>0</v>
      </c>
      <c r="AM72" s="38">
        <f t="shared" si="209"/>
        <v>0</v>
      </c>
      <c r="AN72" s="38">
        <f t="shared" si="210"/>
        <v>2.8325951627906973</v>
      </c>
      <c r="AO72" s="39">
        <f t="shared" si="211"/>
        <v>0</v>
      </c>
      <c r="AP72" s="92">
        <f t="shared" si="212"/>
        <v>0</v>
      </c>
      <c r="AQ72" s="94">
        <f t="shared" si="202"/>
        <v>2.8325951627906973</v>
      </c>
      <c r="AR72" s="1">
        <f t="shared" si="203"/>
        <v>3</v>
      </c>
      <c r="AT72" s="49"/>
      <c r="AU72" s="29"/>
      <c r="AV72" s="29"/>
      <c r="AW72" s="48">
        <f t="shared" si="215"/>
        <v>0</v>
      </c>
      <c r="AX72" s="29"/>
      <c r="AY72" s="29"/>
      <c r="AZ72" s="29"/>
      <c r="BA72" s="50"/>
      <c r="BB72" s="49"/>
      <c r="BC72" s="29"/>
      <c r="BD72" s="29"/>
      <c r="BE72" s="48">
        <f t="shared" si="216"/>
        <v>0</v>
      </c>
      <c r="BF72" s="29"/>
      <c r="BG72" s="29"/>
      <c r="BH72" s="29"/>
      <c r="BI72" s="50"/>
      <c r="BJ72" s="49"/>
      <c r="BK72" s="29"/>
      <c r="BL72" s="29"/>
      <c r="BM72" s="48">
        <f t="shared" si="217"/>
        <v>0</v>
      </c>
      <c r="BN72" s="29"/>
      <c r="BO72" s="29"/>
      <c r="BP72" s="29"/>
      <c r="BQ72" s="50"/>
      <c r="BR72" s="49">
        <v>2000</v>
      </c>
      <c r="BS72" s="29">
        <v>1500</v>
      </c>
      <c r="BT72" s="29">
        <v>2</v>
      </c>
      <c r="BU72" s="48">
        <f t="shared" ref="BU72:BU78" si="220">+BR72*BS72/1000000</f>
        <v>3</v>
      </c>
      <c r="BV72" s="29">
        <v>3</v>
      </c>
      <c r="BW72" s="29" t="s">
        <v>126</v>
      </c>
      <c r="BX72" s="29" t="s">
        <v>81</v>
      </c>
      <c r="BY72" s="50">
        <v>1</v>
      </c>
      <c r="BZ72" s="49">
        <v>1230</v>
      </c>
      <c r="CA72" s="29">
        <v>1480</v>
      </c>
      <c r="CB72" s="29">
        <f t="shared" ref="CB72:CB78" si="221">+BZ72*CA72/1000000</f>
        <v>1.8204</v>
      </c>
      <c r="CC72" s="29">
        <v>33</v>
      </c>
      <c r="CD72" s="29">
        <v>29</v>
      </c>
      <c r="CE72" s="29">
        <v>34</v>
      </c>
      <c r="CF72" s="29">
        <v>33</v>
      </c>
      <c r="CG72" s="29">
        <f t="shared" ref="CG72:CG78" si="222">+V72/CB72*100</f>
        <v>94.484728631070098</v>
      </c>
      <c r="CH72" s="50">
        <f t="shared" ref="CH72:CH78" si="223">+IF(CG72&lt;150,0,IF(CG72&lt;200,1,IF(CG72&lt;250,2,3)))</f>
        <v>0</v>
      </c>
      <c r="CI72" s="67">
        <f t="shared" si="213"/>
        <v>2150</v>
      </c>
      <c r="CJ72" s="69">
        <f t="shared" si="214"/>
        <v>1.72</v>
      </c>
      <c r="CK72" s="71">
        <f t="shared" si="204"/>
        <v>1</v>
      </c>
      <c r="CL72" s="49" t="str">
        <f t="shared" ref="CL72:CL78" si="224">+IF(OR(CJ72&gt;AW72*1.5,CK72&gt;AV72)=TRUE,"0",AX72)</f>
        <v>0</v>
      </c>
      <c r="CM72" s="29">
        <f t="shared" ref="CM72:CM78" si="225">VALUE(IF(OR(CJ72&gt;AW72*1.5,CK72&gt;AV72)=TRUE,"0",IF(LEN(AY72)=2,MID(AY72,1,1),MID(AY72,2,4))))</f>
        <v>0</v>
      </c>
      <c r="CN72" s="29" t="str">
        <f t="shared" ref="CN72:CN78" si="226">+IF(OR(CI72&gt;AU72,CJ72&gt;AW72,CK72&gt;AV72)=TRUE,"0",AZ72)</f>
        <v>0</v>
      </c>
      <c r="CO72" s="50" t="str">
        <f t="shared" ref="CO72:CO78" si="227">+IF(OR(CI72&gt;AU72,CJ72&gt;AW72,CK72&gt;AV72)=TRUE,"0",BA72)</f>
        <v>0</v>
      </c>
      <c r="CP72" s="195" t="str">
        <f t="shared" ref="CP72:CP78" si="228">+IF(OR(CJ72&gt;BE72*1.5,CK72&gt;BD72)=TRUE,"0",BF72)</f>
        <v>0</v>
      </c>
      <c r="CQ72" s="29">
        <f t="shared" ref="CQ72:CQ78" si="229">VALUE(IF(OR(CJ72&gt;BE72*1.5,CK72&gt;BD72)=TRUE,"0",IF(LEN(BG72)=2,MID(BG72,1,1),MID(BG72,2,4))))</f>
        <v>0</v>
      </c>
      <c r="CR72" s="29" t="str">
        <f t="shared" ref="CR72:CR78" si="230">+IF(OR(CI72&gt;BC72,CJ72&gt;BE72,CK72&gt;BD72)=TRUE,"0",BH72)</f>
        <v>0</v>
      </c>
      <c r="CS72" s="194" t="str">
        <f t="shared" ref="CS72:CS78" si="231">+IF(OR(CI72&gt;BC72,CJ72&gt;BE72,CK72&gt;BD72)=TRUE,"0",BI72)</f>
        <v>0</v>
      </c>
      <c r="CT72" s="49" t="str">
        <f t="shared" ref="CT72:CT78" si="232">+IF(OR(CJ72&gt;BM72*1.5,CK72&gt;BL72)=TRUE,"0",BN72)</f>
        <v>0</v>
      </c>
      <c r="CU72" s="29">
        <f t="shared" ref="CU72:CU78" si="233">VALUE(IF(OR(CJ72&gt;BM72*1.5,CK72&gt;BL72)=TRUE,"0",IF(LEN(BO72)=2,MID(BO72,1,1),MID(BO72,2,4))))</f>
        <v>0</v>
      </c>
      <c r="CV72" s="29" t="str">
        <f t="shared" ref="CV72:CV78" si="234">+IF(OR(CI72&gt;BK72,CJ72&gt;BM72,CK72&gt;BL72)=TRUE,"0",BP72)</f>
        <v>0</v>
      </c>
      <c r="CW72" s="50" t="str">
        <f t="shared" ref="CW72:CW78" si="235">+IF(OR(CI72&gt;BK72,CJ72&gt;BM72,CK72&gt;BL72)=TRUE,"0",BQ72)</f>
        <v>0</v>
      </c>
      <c r="CX72" s="49">
        <f t="shared" ref="CX72:CX78" si="236">+IF(OR(CJ72&gt;BU72*1.5,CK72&gt;BT72)=TRUE,"0",BV72)</f>
        <v>3</v>
      </c>
      <c r="CY72" s="29">
        <f t="shared" ref="CY72:CY78" si="237">VALUE(IF(OR(CJ72&gt;BU72*1.5,CK72&gt;BT72)=TRUE,"0",IF(LEN(BW72)=2,MID(BW72,1,1),MID(BW72,2,4))))</f>
        <v>4</v>
      </c>
      <c r="CZ72" s="29" t="str">
        <f t="shared" ref="CZ72:CZ78" si="238">+IF(OR(CI72&gt;BS72,CJ72&gt;BU72,CK72&gt;BT72)=TRUE,"0",BX72)</f>
        <v>0</v>
      </c>
      <c r="DA72" s="50" t="str">
        <f t="shared" ref="DA72:DA78" si="239">+IF(OR(CI72&gt;BS72,CJ72&gt;BU72,CK72&gt;BT72)=TRUE,"0",BY72)</f>
        <v>0</v>
      </c>
      <c r="DB72" s="49">
        <f t="shared" si="218"/>
        <v>3</v>
      </c>
      <c r="DC72" s="29" t="str">
        <f t="shared" si="219"/>
        <v>4A</v>
      </c>
      <c r="DD72" s="29" t="str">
        <f t="shared" ref="DD72:DD78" si="240">+IF(OR(CN72="C",CR72="C",CV72="C",CZ72="C")=TRUE,"C",IF(OR(CN72="B",CR72="B",CV72="B",CZ72="B")=TRUE,"B",IF(OR(CN72="A",CR72="A",CV72="A",CZ72="A")=TRUE,"A","A")))</f>
        <v>A</v>
      </c>
      <c r="DE72" s="29" t="str">
        <f t="shared" si="192"/>
        <v>1</v>
      </c>
      <c r="DF72" s="29">
        <f t="shared" ref="DF72:DF78" si="241">+IF(D$22&lt;CD72,"NPD",IF(D$22&lt;CF72,CC72-CH72,CE72-CH72))</f>
        <v>34</v>
      </c>
      <c r="DG72" s="47">
        <f t="shared" ref="DG72:DG78" si="242">+AN72</f>
        <v>2.8325951627906973</v>
      </c>
    </row>
    <row r="73" spans="3:111" ht="15" hidden="1" thickBot="1">
      <c r="F73" s="87" t="s">
        <v>131</v>
      </c>
      <c r="G73" s="88">
        <f>+VLOOKUP(D57,N57:DG78,93,FALSE)</f>
        <v>4</v>
      </c>
      <c r="I73"/>
      <c r="J73"/>
      <c r="K73"/>
      <c r="L73" s="19"/>
      <c r="M73" s="19"/>
      <c r="N73" s="26" t="s">
        <v>128</v>
      </c>
      <c r="O73" s="41">
        <f t="shared" si="195"/>
        <v>1</v>
      </c>
      <c r="P73" s="36">
        <f t="shared" si="196"/>
        <v>0</v>
      </c>
      <c r="Q73" s="36">
        <f t="shared" si="197"/>
        <v>0</v>
      </c>
      <c r="R73" s="37" t="s">
        <v>21</v>
      </c>
      <c r="S73" s="37" t="str">
        <f t="shared" si="205"/>
        <v>BE</v>
      </c>
      <c r="T73" s="37">
        <f t="shared" si="198"/>
        <v>800</v>
      </c>
      <c r="U73" s="37">
        <f t="shared" si="199"/>
        <v>2150</v>
      </c>
      <c r="V73" s="97">
        <f t="shared" si="200"/>
        <v>1.72</v>
      </c>
      <c r="W73" s="37">
        <v>113.1</v>
      </c>
      <c r="X73" s="37">
        <v>83.5</v>
      </c>
      <c r="Y73" s="37">
        <v>155.30000000000001</v>
      </c>
      <c r="Z73" s="102">
        <f t="shared" si="201"/>
        <v>1.1000000000000001</v>
      </c>
      <c r="AA73" s="110">
        <v>3.6</v>
      </c>
      <c r="AB73" s="56">
        <v>5.3</v>
      </c>
      <c r="AC73" s="111">
        <v>3</v>
      </c>
      <c r="AD73" s="110">
        <v>3.6</v>
      </c>
      <c r="AE73" s="56">
        <v>5.3</v>
      </c>
      <c r="AF73" s="111">
        <v>3</v>
      </c>
      <c r="AG73" s="105">
        <f t="shared" si="154"/>
        <v>3.6</v>
      </c>
      <c r="AH73" s="37">
        <f t="shared" si="155"/>
        <v>5.3</v>
      </c>
      <c r="AI73" s="102">
        <f t="shared" si="156"/>
        <v>3</v>
      </c>
      <c r="AJ73" s="38">
        <f t="shared" si="206"/>
        <v>1.1038764400000001</v>
      </c>
      <c r="AK73" s="38">
        <f t="shared" si="207"/>
        <v>0.61612356000000001</v>
      </c>
      <c r="AL73" s="38">
        <f t="shared" si="208"/>
        <v>0</v>
      </c>
      <c r="AM73" s="38">
        <f t="shared" si="209"/>
        <v>0</v>
      </c>
      <c r="AN73" s="38">
        <f t="shared" si="210"/>
        <v>1.9955284302325578</v>
      </c>
      <c r="AO73" s="39">
        <f t="shared" si="211"/>
        <v>0.08</v>
      </c>
      <c r="AP73" s="92">
        <f t="shared" si="212"/>
        <v>0.2323348837209302</v>
      </c>
      <c r="AQ73" s="94">
        <f t="shared" si="202"/>
        <v>1.9955284302325578</v>
      </c>
      <c r="AR73" s="1">
        <f t="shared" si="203"/>
        <v>4</v>
      </c>
      <c r="AT73" s="49">
        <v>2000</v>
      </c>
      <c r="AU73" s="29">
        <v>1500</v>
      </c>
      <c r="AV73" s="29">
        <v>2</v>
      </c>
      <c r="AW73" s="48">
        <f t="shared" si="215"/>
        <v>3</v>
      </c>
      <c r="AX73" s="29">
        <v>4</v>
      </c>
      <c r="AY73" s="29" t="s">
        <v>82</v>
      </c>
      <c r="AZ73" s="29" t="s">
        <v>81</v>
      </c>
      <c r="BA73" s="50">
        <v>2</v>
      </c>
      <c r="BB73" s="49">
        <v>2900</v>
      </c>
      <c r="BC73" s="29">
        <v>2100</v>
      </c>
      <c r="BD73" s="29">
        <v>3</v>
      </c>
      <c r="BE73" s="48">
        <f t="shared" si="216"/>
        <v>6.09</v>
      </c>
      <c r="BF73" s="29">
        <v>4</v>
      </c>
      <c r="BG73" s="29" t="s">
        <v>129</v>
      </c>
      <c r="BH73" s="29" t="s">
        <v>81</v>
      </c>
      <c r="BI73" s="50">
        <v>1</v>
      </c>
      <c r="BJ73" s="49">
        <v>2900</v>
      </c>
      <c r="BK73" s="29">
        <v>2100</v>
      </c>
      <c r="BL73" s="29">
        <v>4</v>
      </c>
      <c r="BM73" s="48">
        <f t="shared" si="217"/>
        <v>6.09</v>
      </c>
      <c r="BN73" s="29">
        <v>4</v>
      </c>
      <c r="BO73" s="29" t="s">
        <v>126</v>
      </c>
      <c r="BP73" s="29" t="s">
        <v>81</v>
      </c>
      <c r="BQ73" s="50">
        <v>1</v>
      </c>
      <c r="BR73" s="49">
        <v>2900</v>
      </c>
      <c r="BS73" s="29">
        <v>2300</v>
      </c>
      <c r="BT73" s="29">
        <v>2</v>
      </c>
      <c r="BU73" s="48">
        <f t="shared" si="220"/>
        <v>6.67</v>
      </c>
      <c r="BV73" s="29">
        <v>4</v>
      </c>
      <c r="BW73" s="29" t="s">
        <v>126</v>
      </c>
      <c r="BX73" s="29" t="s">
        <v>130</v>
      </c>
      <c r="BY73" s="50">
        <v>1</v>
      </c>
      <c r="BZ73" s="49">
        <v>1230</v>
      </c>
      <c r="CA73" s="29">
        <v>1480</v>
      </c>
      <c r="CB73" s="29">
        <f t="shared" si="221"/>
        <v>1.8204</v>
      </c>
      <c r="CC73" s="29">
        <v>31</v>
      </c>
      <c r="CD73" s="29">
        <v>29</v>
      </c>
      <c r="CE73" s="29">
        <v>33</v>
      </c>
      <c r="CF73" s="29">
        <v>33</v>
      </c>
      <c r="CG73" s="29">
        <f t="shared" si="222"/>
        <v>94.484728631070098</v>
      </c>
      <c r="CH73" s="50">
        <f t="shared" si="223"/>
        <v>0</v>
      </c>
      <c r="CI73" s="67">
        <f t="shared" si="213"/>
        <v>2150</v>
      </c>
      <c r="CJ73" s="69">
        <f t="shared" si="214"/>
        <v>1.72</v>
      </c>
      <c r="CK73" s="71">
        <f t="shared" si="204"/>
        <v>1</v>
      </c>
      <c r="CL73" s="49">
        <f t="shared" si="224"/>
        <v>4</v>
      </c>
      <c r="CM73" s="29">
        <f t="shared" si="225"/>
        <v>7</v>
      </c>
      <c r="CN73" s="29" t="str">
        <f t="shared" si="226"/>
        <v>0</v>
      </c>
      <c r="CO73" s="50" t="str">
        <f t="shared" si="227"/>
        <v>0</v>
      </c>
      <c r="CP73" s="195">
        <f t="shared" si="228"/>
        <v>4</v>
      </c>
      <c r="CQ73" s="29">
        <f t="shared" si="229"/>
        <v>5</v>
      </c>
      <c r="CR73" s="29" t="str">
        <f t="shared" si="230"/>
        <v>0</v>
      </c>
      <c r="CS73" s="194" t="str">
        <f t="shared" si="231"/>
        <v>0</v>
      </c>
      <c r="CT73" s="49">
        <f t="shared" si="232"/>
        <v>4</v>
      </c>
      <c r="CU73" s="29">
        <f t="shared" si="233"/>
        <v>4</v>
      </c>
      <c r="CV73" s="29" t="str">
        <f t="shared" si="234"/>
        <v>0</v>
      </c>
      <c r="CW73" s="50" t="str">
        <f t="shared" si="235"/>
        <v>0</v>
      </c>
      <c r="CX73" s="49">
        <f t="shared" si="236"/>
        <v>4</v>
      </c>
      <c r="CY73" s="29">
        <f t="shared" si="237"/>
        <v>4</v>
      </c>
      <c r="CZ73" s="29" t="str">
        <f t="shared" si="238"/>
        <v>B</v>
      </c>
      <c r="DA73" s="50">
        <f t="shared" si="239"/>
        <v>1</v>
      </c>
      <c r="DB73" s="49">
        <f t="shared" si="218"/>
        <v>4</v>
      </c>
      <c r="DC73" s="29" t="str">
        <f t="shared" si="219"/>
        <v>7A</v>
      </c>
      <c r="DD73" s="29" t="str">
        <f t="shared" si="240"/>
        <v>B</v>
      </c>
      <c r="DE73" s="29">
        <f t="shared" si="192"/>
        <v>1</v>
      </c>
      <c r="DF73" s="29">
        <f t="shared" si="241"/>
        <v>33</v>
      </c>
      <c r="DG73" s="47">
        <f t="shared" si="242"/>
        <v>1.9955284302325578</v>
      </c>
    </row>
    <row r="74" spans="3:111" ht="15" thickBot="1">
      <c r="C74" s="17" t="s">
        <v>135</v>
      </c>
      <c r="D74" s="10"/>
      <c r="L74" s="19"/>
      <c r="M74" s="19"/>
      <c r="N74" s="26" t="s">
        <v>132</v>
      </c>
      <c r="O74" s="41">
        <f t="shared" si="195"/>
        <v>1</v>
      </c>
      <c r="P74" s="36">
        <f t="shared" si="196"/>
        <v>0</v>
      </c>
      <c r="Q74" s="36">
        <f t="shared" si="197"/>
        <v>0</v>
      </c>
      <c r="R74" s="37" t="s">
        <v>21</v>
      </c>
      <c r="S74" s="37" t="str">
        <f t="shared" si="205"/>
        <v>BE</v>
      </c>
      <c r="T74" s="37">
        <f t="shared" si="198"/>
        <v>800</v>
      </c>
      <c r="U74" s="37">
        <f t="shared" si="199"/>
        <v>2150</v>
      </c>
      <c r="V74" s="97">
        <f t="shared" si="200"/>
        <v>1.72</v>
      </c>
      <c r="W74" s="37">
        <v>113.5</v>
      </c>
      <c r="X74" s="37">
        <v>91</v>
      </c>
      <c r="Y74" s="37">
        <v>163</v>
      </c>
      <c r="Z74" s="102">
        <f t="shared" si="201"/>
        <v>1.1000000000000001</v>
      </c>
      <c r="AA74" s="110">
        <v>3.8</v>
      </c>
      <c r="AB74" s="56">
        <v>6</v>
      </c>
      <c r="AC74" s="111">
        <v>3.5</v>
      </c>
      <c r="AD74" s="110">
        <v>3.6</v>
      </c>
      <c r="AE74" s="56">
        <v>5.5</v>
      </c>
      <c r="AF74" s="111">
        <v>3.5</v>
      </c>
      <c r="AG74" s="105">
        <f t="shared" si="154"/>
        <v>3.6</v>
      </c>
      <c r="AH74" s="37">
        <f t="shared" si="155"/>
        <v>5.5</v>
      </c>
      <c r="AI74" s="102">
        <f t="shared" si="156"/>
        <v>3.5</v>
      </c>
      <c r="AJ74" s="38">
        <f t="shared" si="206"/>
        <v>1.1018789999999998</v>
      </c>
      <c r="AK74" s="38">
        <f t="shared" si="207"/>
        <v>0.61812100000000003</v>
      </c>
      <c r="AL74" s="38">
        <f t="shared" si="208"/>
        <v>0</v>
      </c>
      <c r="AM74" s="38">
        <f t="shared" si="209"/>
        <v>0</v>
      </c>
      <c r="AN74" s="38">
        <f t="shared" si="210"/>
        <v>1.9984316860465119</v>
      </c>
      <c r="AO74" s="39">
        <f t="shared" si="211"/>
        <v>0.08</v>
      </c>
      <c r="AP74" s="92">
        <f t="shared" si="212"/>
        <v>0.23218604651162794</v>
      </c>
      <c r="AQ74" s="94">
        <f t="shared" si="202"/>
        <v>1.9984316860465119</v>
      </c>
      <c r="AR74" s="1">
        <f t="shared" si="203"/>
        <v>3</v>
      </c>
      <c r="AT74" s="49">
        <v>2000</v>
      </c>
      <c r="AU74" s="29">
        <v>1500</v>
      </c>
      <c r="AV74" s="29">
        <v>2</v>
      </c>
      <c r="AW74" s="48">
        <f t="shared" si="215"/>
        <v>3</v>
      </c>
      <c r="AX74" s="29">
        <v>3</v>
      </c>
      <c r="AY74" s="29" t="s">
        <v>129</v>
      </c>
      <c r="AZ74" s="29" t="s">
        <v>81</v>
      </c>
      <c r="BA74" s="50">
        <v>1</v>
      </c>
      <c r="BB74" s="49">
        <v>2900</v>
      </c>
      <c r="BC74" s="29">
        <v>2100</v>
      </c>
      <c r="BD74" s="29">
        <v>3</v>
      </c>
      <c r="BE74" s="48">
        <f t="shared" si="216"/>
        <v>6.09</v>
      </c>
      <c r="BF74" s="29">
        <v>3</v>
      </c>
      <c r="BG74" s="29" t="s">
        <v>133</v>
      </c>
      <c r="BH74" s="29" t="s">
        <v>81</v>
      </c>
      <c r="BI74" s="50">
        <v>1</v>
      </c>
      <c r="BJ74" s="49">
        <v>2900</v>
      </c>
      <c r="BK74" s="29">
        <v>2100</v>
      </c>
      <c r="BL74" s="29">
        <v>4</v>
      </c>
      <c r="BM74" s="48">
        <f t="shared" si="217"/>
        <v>6.09</v>
      </c>
      <c r="BN74" s="29">
        <v>3</v>
      </c>
      <c r="BO74" s="29" t="s">
        <v>126</v>
      </c>
      <c r="BP74" s="29" t="s">
        <v>81</v>
      </c>
      <c r="BQ74" s="50">
        <v>1</v>
      </c>
      <c r="BR74" s="49">
        <v>2900</v>
      </c>
      <c r="BS74" s="29">
        <v>2300</v>
      </c>
      <c r="BT74" s="29">
        <v>2</v>
      </c>
      <c r="BU74" s="48">
        <f t="shared" si="220"/>
        <v>6.67</v>
      </c>
      <c r="BV74" s="29">
        <v>3</v>
      </c>
      <c r="BW74" s="29" t="s">
        <v>134</v>
      </c>
      <c r="BX74" s="29" t="s">
        <v>130</v>
      </c>
      <c r="BY74" s="50">
        <v>1</v>
      </c>
      <c r="BZ74" s="49">
        <v>1230</v>
      </c>
      <c r="CA74" s="29">
        <v>1480</v>
      </c>
      <c r="CB74" s="29">
        <f t="shared" si="221"/>
        <v>1.8204</v>
      </c>
      <c r="CC74" s="29">
        <v>31</v>
      </c>
      <c r="CD74" s="29">
        <v>29</v>
      </c>
      <c r="CE74" s="29">
        <v>32</v>
      </c>
      <c r="CF74" s="29">
        <v>33</v>
      </c>
      <c r="CG74" s="29">
        <f t="shared" si="222"/>
        <v>94.484728631070098</v>
      </c>
      <c r="CH74" s="50">
        <f t="shared" si="223"/>
        <v>0</v>
      </c>
      <c r="CI74" s="67">
        <f t="shared" si="213"/>
        <v>2150</v>
      </c>
      <c r="CJ74" s="69">
        <f t="shared" si="214"/>
        <v>1.72</v>
      </c>
      <c r="CK74" s="71">
        <f t="shared" si="204"/>
        <v>1</v>
      </c>
      <c r="CL74" s="49">
        <f t="shared" si="224"/>
        <v>3</v>
      </c>
      <c r="CM74" s="29">
        <f t="shared" si="225"/>
        <v>5</v>
      </c>
      <c r="CN74" s="29" t="str">
        <f t="shared" si="226"/>
        <v>0</v>
      </c>
      <c r="CO74" s="50" t="str">
        <f t="shared" si="227"/>
        <v>0</v>
      </c>
      <c r="CP74" s="195">
        <f t="shared" si="228"/>
        <v>3</v>
      </c>
      <c r="CQ74" s="29">
        <f t="shared" si="229"/>
        <v>2</v>
      </c>
      <c r="CR74" s="29" t="str">
        <f t="shared" si="230"/>
        <v>0</v>
      </c>
      <c r="CS74" s="194" t="str">
        <f t="shared" si="231"/>
        <v>0</v>
      </c>
      <c r="CT74" s="49">
        <f t="shared" si="232"/>
        <v>3</v>
      </c>
      <c r="CU74" s="29">
        <f t="shared" si="233"/>
        <v>4</v>
      </c>
      <c r="CV74" s="29" t="str">
        <f t="shared" si="234"/>
        <v>0</v>
      </c>
      <c r="CW74" s="50" t="str">
        <f t="shared" si="235"/>
        <v>0</v>
      </c>
      <c r="CX74" s="49">
        <f t="shared" si="236"/>
        <v>3</v>
      </c>
      <c r="CY74" s="29">
        <f t="shared" si="237"/>
        <v>3</v>
      </c>
      <c r="CZ74" s="29" t="str">
        <f t="shared" si="238"/>
        <v>B</v>
      </c>
      <c r="DA74" s="50">
        <f t="shared" si="239"/>
        <v>1</v>
      </c>
      <c r="DB74" s="49">
        <f t="shared" si="218"/>
        <v>3</v>
      </c>
      <c r="DC74" s="29" t="str">
        <f t="shared" si="219"/>
        <v>5A</v>
      </c>
      <c r="DD74" s="29" t="str">
        <f t="shared" si="240"/>
        <v>B</v>
      </c>
      <c r="DE74" s="29">
        <f t="shared" si="192"/>
        <v>1</v>
      </c>
      <c r="DF74" s="29">
        <f t="shared" si="241"/>
        <v>32</v>
      </c>
      <c r="DG74" s="47">
        <f t="shared" si="242"/>
        <v>1.9984316860465119</v>
      </c>
    </row>
    <row r="75" spans="3:111" hidden="1">
      <c r="C75" s="1"/>
      <c r="N75" s="117" t="s">
        <v>136</v>
      </c>
      <c r="O75" s="41">
        <f t="shared" si="195"/>
        <v>1</v>
      </c>
      <c r="P75" s="36">
        <f t="shared" si="196"/>
        <v>0</v>
      </c>
      <c r="Q75" s="36">
        <f t="shared" si="197"/>
        <v>0</v>
      </c>
      <c r="R75" s="37" t="s">
        <v>21</v>
      </c>
      <c r="S75" s="37" t="str">
        <f t="shared" si="205"/>
        <v>BE</v>
      </c>
      <c r="T75" s="37">
        <f t="shared" si="198"/>
        <v>800</v>
      </c>
      <c r="U75" s="37">
        <f t="shared" si="199"/>
        <v>2150</v>
      </c>
      <c r="V75" s="97">
        <f t="shared" si="200"/>
        <v>1.72</v>
      </c>
      <c r="W75" s="118">
        <v>115.6</v>
      </c>
      <c r="X75" s="118">
        <v>26</v>
      </c>
      <c r="Y75" s="118">
        <v>163</v>
      </c>
      <c r="Z75" s="102">
        <f t="shared" si="201"/>
        <v>1.1000000000000001</v>
      </c>
      <c r="AA75" s="120">
        <v>3.7</v>
      </c>
      <c r="AB75" s="121">
        <v>4.0999999999999996</v>
      </c>
      <c r="AC75" s="122">
        <v>4.0999999999999996</v>
      </c>
      <c r="AD75" s="120">
        <v>3.3</v>
      </c>
      <c r="AE75" s="121">
        <v>3.5</v>
      </c>
      <c r="AF75" s="122">
        <v>3.5</v>
      </c>
      <c r="AG75" s="123">
        <f t="shared" si="154"/>
        <v>3.3</v>
      </c>
      <c r="AH75" s="118">
        <f t="shared" si="155"/>
        <v>3.5</v>
      </c>
      <c r="AI75" s="119">
        <f t="shared" si="156"/>
        <v>3.5</v>
      </c>
      <c r="AJ75" s="38">
        <f t="shared" si="206"/>
        <v>1.09141344</v>
      </c>
      <c r="AK75" s="38">
        <f t="shared" si="207"/>
        <v>0.62858656000000002</v>
      </c>
      <c r="AL75" s="38">
        <f t="shared" si="208"/>
        <v>0</v>
      </c>
      <c r="AM75" s="38">
        <f t="shared" si="209"/>
        <v>0</v>
      </c>
      <c r="AN75" s="38">
        <f t="shared" si="210"/>
        <v>1.9040060651162793</v>
      </c>
      <c r="AO75" s="39">
        <f t="shared" si="211"/>
        <v>0.08</v>
      </c>
      <c r="AP75" s="92">
        <f t="shared" si="212"/>
        <v>0.23140465116279071</v>
      </c>
      <c r="AQ75" s="94">
        <f t="shared" si="202"/>
        <v>1.9040060651162793</v>
      </c>
      <c r="AR75" s="1">
        <f t="shared" si="203"/>
        <v>3</v>
      </c>
      <c r="AT75" s="49">
        <v>2000</v>
      </c>
      <c r="AU75" s="29">
        <v>1500</v>
      </c>
      <c r="AV75" s="29">
        <v>2</v>
      </c>
      <c r="AW75" s="48">
        <f t="shared" si="215"/>
        <v>3</v>
      </c>
      <c r="AX75" s="29">
        <v>3</v>
      </c>
      <c r="AY75" s="29" t="s">
        <v>129</v>
      </c>
      <c r="AZ75" s="29" t="s">
        <v>81</v>
      </c>
      <c r="BA75" s="50">
        <v>4</v>
      </c>
      <c r="BB75" s="49">
        <v>2900</v>
      </c>
      <c r="BC75" s="29">
        <v>2100</v>
      </c>
      <c r="BD75" s="29">
        <v>3</v>
      </c>
      <c r="BE75" s="48">
        <f t="shared" si="216"/>
        <v>6.09</v>
      </c>
      <c r="BF75" s="29">
        <v>3</v>
      </c>
      <c r="BG75" s="29" t="s">
        <v>129</v>
      </c>
      <c r="BH75" s="29" t="s">
        <v>81</v>
      </c>
      <c r="BI75" s="50">
        <v>1</v>
      </c>
      <c r="BJ75" s="49">
        <v>2900</v>
      </c>
      <c r="BK75" s="29">
        <v>2100</v>
      </c>
      <c r="BL75" s="29">
        <v>4</v>
      </c>
      <c r="BM75" s="48">
        <f t="shared" si="217"/>
        <v>6.09</v>
      </c>
      <c r="BN75" s="29">
        <v>3</v>
      </c>
      <c r="BO75" s="29" t="s">
        <v>126</v>
      </c>
      <c r="BP75" s="29" t="s">
        <v>81</v>
      </c>
      <c r="BQ75" s="50">
        <v>1</v>
      </c>
      <c r="BR75" s="49">
        <v>2900</v>
      </c>
      <c r="BS75" s="29">
        <v>2300</v>
      </c>
      <c r="BT75" s="29">
        <v>2</v>
      </c>
      <c r="BU75" s="48">
        <f t="shared" si="220"/>
        <v>6.67</v>
      </c>
      <c r="BV75" s="29">
        <v>3</v>
      </c>
      <c r="BW75" s="29" t="s">
        <v>126</v>
      </c>
      <c r="BX75" s="29" t="s">
        <v>130</v>
      </c>
      <c r="BY75" s="50">
        <v>1</v>
      </c>
      <c r="BZ75" s="49">
        <v>1400</v>
      </c>
      <c r="CA75" s="29">
        <v>1500</v>
      </c>
      <c r="CB75" s="29">
        <f t="shared" si="221"/>
        <v>2.1</v>
      </c>
      <c r="CC75" s="29">
        <v>31</v>
      </c>
      <c r="CD75" s="29">
        <v>29</v>
      </c>
      <c r="CE75" s="29">
        <v>33</v>
      </c>
      <c r="CF75" s="29">
        <v>33</v>
      </c>
      <c r="CG75" s="29">
        <f t="shared" si="222"/>
        <v>81.904761904761898</v>
      </c>
      <c r="CH75" s="50">
        <f t="shared" si="223"/>
        <v>0</v>
      </c>
      <c r="CI75" s="67">
        <f t="shared" si="213"/>
        <v>2150</v>
      </c>
      <c r="CJ75" s="69">
        <f t="shared" si="214"/>
        <v>1.72</v>
      </c>
      <c r="CK75" s="71">
        <f t="shared" si="204"/>
        <v>1</v>
      </c>
      <c r="CL75" s="49">
        <f t="shared" si="224"/>
        <v>3</v>
      </c>
      <c r="CM75" s="29">
        <f t="shared" si="225"/>
        <v>5</v>
      </c>
      <c r="CN75" s="29" t="str">
        <f t="shared" si="226"/>
        <v>0</v>
      </c>
      <c r="CO75" s="50" t="str">
        <f t="shared" si="227"/>
        <v>0</v>
      </c>
      <c r="CP75" s="195">
        <f t="shared" si="228"/>
        <v>3</v>
      </c>
      <c r="CQ75" s="29">
        <f t="shared" si="229"/>
        <v>5</v>
      </c>
      <c r="CR75" s="29" t="str">
        <f t="shared" si="230"/>
        <v>0</v>
      </c>
      <c r="CS75" s="194" t="str">
        <f t="shared" si="231"/>
        <v>0</v>
      </c>
      <c r="CT75" s="49">
        <f t="shared" si="232"/>
        <v>3</v>
      </c>
      <c r="CU75" s="29">
        <f t="shared" si="233"/>
        <v>4</v>
      </c>
      <c r="CV75" s="29" t="str">
        <f t="shared" si="234"/>
        <v>0</v>
      </c>
      <c r="CW75" s="50" t="str">
        <f t="shared" si="235"/>
        <v>0</v>
      </c>
      <c r="CX75" s="49">
        <f t="shared" si="236"/>
        <v>3</v>
      </c>
      <c r="CY75" s="29">
        <f t="shared" si="237"/>
        <v>4</v>
      </c>
      <c r="CZ75" s="29" t="str">
        <f t="shared" si="238"/>
        <v>B</v>
      </c>
      <c r="DA75" s="50">
        <f t="shared" si="239"/>
        <v>1</v>
      </c>
      <c r="DB75" s="49">
        <f t="shared" si="218"/>
        <v>3</v>
      </c>
      <c r="DC75" s="29" t="str">
        <f t="shared" si="219"/>
        <v>5A</v>
      </c>
      <c r="DD75" s="29" t="str">
        <f t="shared" si="240"/>
        <v>B</v>
      </c>
      <c r="DE75" s="29">
        <f t="shared" si="192"/>
        <v>1</v>
      </c>
      <c r="DF75" s="29">
        <f t="shared" si="241"/>
        <v>33</v>
      </c>
      <c r="DG75" s="47">
        <f t="shared" si="242"/>
        <v>1.9040060651162793</v>
      </c>
    </row>
    <row r="76" spans="3:111" hidden="1">
      <c r="C76" s="124"/>
      <c r="D76" s="125"/>
      <c r="J76"/>
      <c r="K76"/>
      <c r="N76" s="117" t="s">
        <v>137</v>
      </c>
      <c r="O76" s="41">
        <f>+$D$10</f>
        <v>1</v>
      </c>
      <c r="P76" s="36">
        <f>+H$19</f>
        <v>0</v>
      </c>
      <c r="Q76" s="36">
        <f>+I$19</f>
        <v>0</v>
      </c>
      <c r="R76" s="37" t="s">
        <v>21</v>
      </c>
      <c r="S76" s="37" t="str">
        <f>+IF(I$9="N","N","BE")</f>
        <v>BE</v>
      </c>
      <c r="T76" s="37">
        <f>+$D$13</f>
        <v>1400</v>
      </c>
      <c r="U76" s="37">
        <f>+$D$14</f>
        <v>2150</v>
      </c>
      <c r="V76" s="97">
        <f>+T76*U76/1000000</f>
        <v>3.01</v>
      </c>
      <c r="W76" s="118">
        <v>111.1</v>
      </c>
      <c r="X76" s="118">
        <v>36.799999999999997</v>
      </c>
      <c r="Y76" s="118">
        <v>154.6</v>
      </c>
      <c r="Z76" s="102">
        <f>+$D$21</f>
        <v>1.1000000000000001</v>
      </c>
      <c r="AA76" s="120">
        <v>3.5</v>
      </c>
      <c r="AB76" s="121">
        <v>6</v>
      </c>
      <c r="AC76" s="122">
        <v>3.5</v>
      </c>
      <c r="AD76" s="120">
        <v>3.5</v>
      </c>
      <c r="AE76" s="121">
        <v>6</v>
      </c>
      <c r="AF76" s="122">
        <v>3.5</v>
      </c>
      <c r="AG76" s="123">
        <f t="shared" ref="AG76:AI77" si="243">+IF($D$12="SI",AD76,AA76)</f>
        <v>3.5</v>
      </c>
      <c r="AH76" s="118">
        <f t="shared" si="243"/>
        <v>6</v>
      </c>
      <c r="AI76" s="119">
        <f t="shared" si="243"/>
        <v>3.5</v>
      </c>
      <c r="AJ76" s="38">
        <f>+(T76*U76)/1000000-AK76-AL76-AM76</f>
        <v>2.2705628399999997</v>
      </c>
      <c r="AK76" s="38">
        <f>+(T76*U76-(T76-2*W76)*(U76-2*W76))/1000000</f>
        <v>0.73943716000000015</v>
      </c>
      <c r="AL76" s="38">
        <f>+(U76-2*W76)/1000000*X76*P76</f>
        <v>0</v>
      </c>
      <c r="AM76" s="38">
        <f>+(U76-2*W76)/1000000*Y76*Q76</f>
        <v>0</v>
      </c>
      <c r="AN76" s="38">
        <f>+(Z76*AJ76+AG76*AK76+AL76*AH76+AI76*AM76)/(AJ76+AK76+AL76+AM76)</f>
        <v>1.6895844465116281</v>
      </c>
      <c r="AO76" s="39">
        <f>+IF(R76="NO",0,IF(S76="BE",0.08,0.06))</f>
        <v>0.08</v>
      </c>
      <c r="AP76" s="92">
        <f>+AO76*((T76-2*W76-P76*X76-Q76*Y76)/1000*2+(U76-2*W76)/1000*2*(P76+Q76+1))/(AJ76+AK76+AL76+AM76)</f>
        <v>0.16508172757475084</v>
      </c>
      <c r="AQ76" s="94">
        <f t="shared" si="202"/>
        <v>1.6895844465116281</v>
      </c>
      <c r="AR76" s="1">
        <f t="shared" si="203"/>
        <v>3</v>
      </c>
      <c r="AT76" s="73"/>
      <c r="AU76" s="75"/>
      <c r="AV76" s="75"/>
      <c r="AW76" s="48"/>
      <c r="AX76" s="75"/>
      <c r="AY76" s="75"/>
      <c r="AZ76" s="75"/>
      <c r="BA76" s="76"/>
      <c r="BB76" s="73"/>
      <c r="BC76" s="75"/>
      <c r="BD76" s="75"/>
      <c r="BE76" s="48"/>
      <c r="BF76" s="75"/>
      <c r="BG76" s="75"/>
      <c r="BH76" s="75"/>
      <c r="BI76" s="76"/>
      <c r="BJ76" s="73"/>
      <c r="BK76" s="75"/>
      <c r="BL76" s="75"/>
      <c r="BM76" s="48"/>
      <c r="BN76" s="75"/>
      <c r="BO76" s="75"/>
      <c r="BP76" s="75"/>
      <c r="BQ76" s="76"/>
      <c r="BR76" s="73">
        <v>2900</v>
      </c>
      <c r="BS76" s="75">
        <v>2100</v>
      </c>
      <c r="BT76" s="75">
        <v>2</v>
      </c>
      <c r="BU76" s="48">
        <f t="shared" si="220"/>
        <v>6.09</v>
      </c>
      <c r="BV76" s="75">
        <v>3</v>
      </c>
      <c r="BW76" s="75" t="s">
        <v>82</v>
      </c>
      <c r="BX76" s="75" t="s">
        <v>81</v>
      </c>
      <c r="BY76" s="76">
        <v>1</v>
      </c>
      <c r="BZ76" s="49">
        <v>1400</v>
      </c>
      <c r="CA76" s="29">
        <v>1500</v>
      </c>
      <c r="CB76" s="29">
        <f t="shared" si="221"/>
        <v>2.1</v>
      </c>
      <c r="CC76" s="29">
        <v>31</v>
      </c>
      <c r="CD76" s="29">
        <v>29</v>
      </c>
      <c r="CE76" s="29">
        <v>33</v>
      </c>
      <c r="CF76" s="29">
        <v>33</v>
      </c>
      <c r="CG76" s="29">
        <f t="shared" si="222"/>
        <v>143.33333333333331</v>
      </c>
      <c r="CH76" s="50">
        <f t="shared" si="223"/>
        <v>0</v>
      </c>
      <c r="CI76" s="67">
        <f t="shared" ref="CI76:CJ78" si="244">+U76</f>
        <v>2150</v>
      </c>
      <c r="CJ76" s="69">
        <f t="shared" si="244"/>
        <v>3.01</v>
      </c>
      <c r="CK76" s="71">
        <f t="shared" si="204"/>
        <v>1</v>
      </c>
      <c r="CL76" s="49" t="str">
        <f t="shared" si="224"/>
        <v>0</v>
      </c>
      <c r="CM76" s="29">
        <f t="shared" si="225"/>
        <v>0</v>
      </c>
      <c r="CN76" s="29" t="str">
        <f t="shared" si="226"/>
        <v>0</v>
      </c>
      <c r="CO76" s="50" t="str">
        <f t="shared" si="227"/>
        <v>0</v>
      </c>
      <c r="CP76" s="195" t="str">
        <f t="shared" si="228"/>
        <v>0</v>
      </c>
      <c r="CQ76" s="29">
        <f t="shared" si="229"/>
        <v>0</v>
      </c>
      <c r="CR76" s="29" t="str">
        <f t="shared" si="230"/>
        <v>0</v>
      </c>
      <c r="CS76" s="194" t="str">
        <f t="shared" si="231"/>
        <v>0</v>
      </c>
      <c r="CT76" s="49" t="str">
        <f t="shared" si="232"/>
        <v>0</v>
      </c>
      <c r="CU76" s="29">
        <f t="shared" si="233"/>
        <v>0</v>
      </c>
      <c r="CV76" s="29" t="str">
        <f t="shared" si="234"/>
        <v>0</v>
      </c>
      <c r="CW76" s="50" t="str">
        <f t="shared" si="235"/>
        <v>0</v>
      </c>
      <c r="CX76" s="49">
        <f t="shared" si="236"/>
        <v>3</v>
      </c>
      <c r="CY76" s="29">
        <f t="shared" si="237"/>
        <v>7</v>
      </c>
      <c r="CZ76" s="29" t="str">
        <f t="shared" si="238"/>
        <v>0</v>
      </c>
      <c r="DA76" s="50" t="str">
        <f t="shared" si="239"/>
        <v>0</v>
      </c>
      <c r="DB76" s="49">
        <f t="shared" si="218"/>
        <v>3</v>
      </c>
      <c r="DC76" s="29" t="str">
        <f t="shared" si="219"/>
        <v>7A</v>
      </c>
      <c r="DD76" s="29" t="str">
        <f t="shared" si="240"/>
        <v>A</v>
      </c>
      <c r="DE76" s="29" t="str">
        <f t="shared" si="192"/>
        <v>1</v>
      </c>
      <c r="DF76" s="29">
        <f t="shared" si="241"/>
        <v>33</v>
      </c>
      <c r="DG76" s="47">
        <f t="shared" si="242"/>
        <v>1.6895844465116281</v>
      </c>
    </row>
    <row r="77" spans="3:111" hidden="1">
      <c r="D77" s="99"/>
      <c r="J77"/>
      <c r="K77"/>
      <c r="N77" s="117" t="s">
        <v>138</v>
      </c>
      <c r="O77" s="41">
        <f>+$D$10</f>
        <v>1</v>
      </c>
      <c r="P77" s="36">
        <f>+H$19</f>
        <v>0</v>
      </c>
      <c r="Q77" s="36">
        <f>+I$19</f>
        <v>0</v>
      </c>
      <c r="R77" s="37" t="s">
        <v>21</v>
      </c>
      <c r="S77" s="37" t="str">
        <f>+IF(I$9="N","N","BE")</f>
        <v>BE</v>
      </c>
      <c r="T77" s="37">
        <f>+$D$13</f>
        <v>1400</v>
      </c>
      <c r="U77" s="37">
        <f>+$D$14</f>
        <v>2150</v>
      </c>
      <c r="V77" s="97">
        <f>+T77*U77/1000000</f>
        <v>3.01</v>
      </c>
      <c r="W77" s="118">
        <v>78</v>
      </c>
      <c r="X77" s="118">
        <v>32</v>
      </c>
      <c r="Y77" s="118">
        <v>32</v>
      </c>
      <c r="Z77" s="102">
        <f>+$D$21</f>
        <v>1.1000000000000001</v>
      </c>
      <c r="AA77" s="120">
        <v>3.7</v>
      </c>
      <c r="AB77" s="121">
        <v>4.0999999999999996</v>
      </c>
      <c r="AC77" s="122">
        <v>4.0999999999999996</v>
      </c>
      <c r="AD77" s="120">
        <v>3.3</v>
      </c>
      <c r="AE77" s="121">
        <v>3.5</v>
      </c>
      <c r="AF77" s="122">
        <v>3.5</v>
      </c>
      <c r="AG77" s="123">
        <f t="shared" si="243"/>
        <v>3.3</v>
      </c>
      <c r="AH77" s="118">
        <f t="shared" si="243"/>
        <v>3.5</v>
      </c>
      <c r="AI77" s="119">
        <f t="shared" si="243"/>
        <v>3.5</v>
      </c>
      <c r="AJ77" s="38">
        <f>+(T77*U77)/1000000-AK77-AL77-AM77</f>
        <v>2.4805359999999999</v>
      </c>
      <c r="AK77" s="38">
        <f>+(T77*U77-(T77-2*W77)*(U77-2*W77))/1000000</f>
        <v>0.52946400000000005</v>
      </c>
      <c r="AL77" s="38">
        <f>+(U77-2*W77)/1000000*X77*P77</f>
        <v>0</v>
      </c>
      <c r="AM77" s="38">
        <f>+(U77-2*W77)/1000000*Y77*Q77</f>
        <v>0</v>
      </c>
      <c r="AN77" s="38">
        <f>+(Z77*AJ77+AG77*AK77+AL77*AH77+AI77*AM77)/(AJ77+AK77+AL77+AM77)</f>
        <v>1.4869836544850501</v>
      </c>
      <c r="AO77" s="39">
        <v>0.03</v>
      </c>
      <c r="AP77" s="92">
        <f>+AO77*((T77-2*W77-P77*X77-Q77*Y77)/1000*2+(U77-2*W77)/1000*2*(P77+Q77+1))/(AJ77+AK77+AL77+AM77)</f>
        <v>6.4544850498338871E-2</v>
      </c>
      <c r="AQ77" s="94">
        <f t="shared" si="202"/>
        <v>1.4869836544850501</v>
      </c>
      <c r="AR77" s="1">
        <f t="shared" si="203"/>
        <v>3</v>
      </c>
      <c r="AT77" s="73"/>
      <c r="AU77" s="75"/>
      <c r="AV77" s="75"/>
      <c r="AW77" s="48">
        <f>+AT77*AU77/1000000</f>
        <v>0</v>
      </c>
      <c r="AX77" s="75"/>
      <c r="AY77" s="75"/>
      <c r="AZ77" s="75"/>
      <c r="BA77" s="76"/>
      <c r="BB77" s="73"/>
      <c r="BC77" s="75"/>
      <c r="BD77" s="75"/>
      <c r="BE77" s="48">
        <f>+BB77*BC77/1000000</f>
        <v>0</v>
      </c>
      <c r="BF77" s="75"/>
      <c r="BG77" s="75"/>
      <c r="BH77" s="75"/>
      <c r="BI77" s="76"/>
      <c r="BJ77" s="73"/>
      <c r="BK77" s="75"/>
      <c r="BL77" s="75"/>
      <c r="BM77" s="48">
        <f>+BJ77*BK77/1000000</f>
        <v>0</v>
      </c>
      <c r="BN77" s="75"/>
      <c r="BO77" s="75"/>
      <c r="BP77" s="75"/>
      <c r="BQ77" s="76"/>
      <c r="BR77" s="73">
        <v>2900</v>
      </c>
      <c r="BS77" s="75">
        <v>2100</v>
      </c>
      <c r="BT77" s="75">
        <v>2</v>
      </c>
      <c r="BU77" s="48">
        <f t="shared" si="220"/>
        <v>6.09</v>
      </c>
      <c r="BV77" s="75">
        <v>3</v>
      </c>
      <c r="BW77" s="75" t="s">
        <v>82</v>
      </c>
      <c r="BX77" s="75" t="s">
        <v>81</v>
      </c>
      <c r="BY77" s="76">
        <v>1</v>
      </c>
      <c r="BZ77" s="49">
        <v>1400</v>
      </c>
      <c r="CA77" s="29">
        <v>1500</v>
      </c>
      <c r="CB77" s="29">
        <f t="shared" si="221"/>
        <v>2.1</v>
      </c>
      <c r="CC77" s="29">
        <v>31</v>
      </c>
      <c r="CD77" s="29">
        <v>29</v>
      </c>
      <c r="CE77" s="29">
        <v>33</v>
      </c>
      <c r="CF77" s="29">
        <v>33</v>
      </c>
      <c r="CG77" s="29">
        <f t="shared" si="222"/>
        <v>143.33333333333331</v>
      </c>
      <c r="CH77" s="50">
        <f t="shared" si="223"/>
        <v>0</v>
      </c>
      <c r="CI77" s="67">
        <f t="shared" si="244"/>
        <v>2150</v>
      </c>
      <c r="CJ77" s="69">
        <f t="shared" si="244"/>
        <v>3.01</v>
      </c>
      <c r="CK77" s="71">
        <f t="shared" si="204"/>
        <v>1</v>
      </c>
      <c r="CL77" s="49" t="str">
        <f t="shared" si="224"/>
        <v>0</v>
      </c>
      <c r="CM77" s="29">
        <f t="shared" si="225"/>
        <v>0</v>
      </c>
      <c r="CN77" s="29" t="str">
        <f t="shared" si="226"/>
        <v>0</v>
      </c>
      <c r="CO77" s="50" t="str">
        <f t="shared" si="227"/>
        <v>0</v>
      </c>
      <c r="CP77" s="195" t="str">
        <f t="shared" si="228"/>
        <v>0</v>
      </c>
      <c r="CQ77" s="29">
        <f t="shared" si="229"/>
        <v>0</v>
      </c>
      <c r="CR77" s="29" t="str">
        <f t="shared" si="230"/>
        <v>0</v>
      </c>
      <c r="CS77" s="194" t="str">
        <f t="shared" si="231"/>
        <v>0</v>
      </c>
      <c r="CT77" s="49" t="str">
        <f t="shared" si="232"/>
        <v>0</v>
      </c>
      <c r="CU77" s="29">
        <f t="shared" si="233"/>
        <v>0</v>
      </c>
      <c r="CV77" s="29" t="str">
        <f t="shared" si="234"/>
        <v>0</v>
      </c>
      <c r="CW77" s="50" t="str">
        <f t="shared" si="235"/>
        <v>0</v>
      </c>
      <c r="CX77" s="49">
        <f t="shared" si="236"/>
        <v>3</v>
      </c>
      <c r="CY77" s="29">
        <f t="shared" si="237"/>
        <v>7</v>
      </c>
      <c r="CZ77" s="29" t="str">
        <f t="shared" si="238"/>
        <v>0</v>
      </c>
      <c r="DA77" s="50" t="str">
        <f t="shared" si="239"/>
        <v>0</v>
      </c>
      <c r="DB77" s="49">
        <f t="shared" si="218"/>
        <v>3</v>
      </c>
      <c r="DC77" s="29" t="str">
        <f t="shared" si="219"/>
        <v>7A</v>
      </c>
      <c r="DD77" s="29" t="str">
        <f t="shared" si="240"/>
        <v>A</v>
      </c>
      <c r="DE77" s="29" t="str">
        <f t="shared" si="192"/>
        <v>1</v>
      </c>
      <c r="DF77" s="29">
        <f t="shared" si="241"/>
        <v>33</v>
      </c>
      <c r="DG77" s="47">
        <f t="shared" si="242"/>
        <v>1.4869836544850501</v>
      </c>
    </row>
    <row r="78" spans="3:111" ht="15" hidden="1" thickBot="1">
      <c r="C78" s="1"/>
      <c r="N78" s="27" t="s">
        <v>139</v>
      </c>
      <c r="O78" s="42">
        <f t="shared" si="195"/>
        <v>1</v>
      </c>
      <c r="P78" s="43">
        <f t="shared" si="196"/>
        <v>0</v>
      </c>
      <c r="Q78" s="43">
        <f t="shared" si="197"/>
        <v>0</v>
      </c>
      <c r="R78" s="44" t="s">
        <v>21</v>
      </c>
      <c r="S78" s="44" t="str">
        <f t="shared" si="205"/>
        <v>BE</v>
      </c>
      <c r="T78" s="44">
        <f t="shared" si="198"/>
        <v>800</v>
      </c>
      <c r="U78" s="44">
        <f t="shared" si="199"/>
        <v>2150</v>
      </c>
      <c r="V78" s="98">
        <f t="shared" si="200"/>
        <v>1.72</v>
      </c>
      <c r="W78" s="44">
        <v>140</v>
      </c>
      <c r="X78" s="44">
        <v>110</v>
      </c>
      <c r="Y78" s="44"/>
      <c r="Z78" s="103">
        <f t="shared" si="201"/>
        <v>1.1000000000000001</v>
      </c>
      <c r="AA78" s="115">
        <v>3.9</v>
      </c>
      <c r="AB78" s="57">
        <v>3.9</v>
      </c>
      <c r="AC78" s="116"/>
      <c r="AD78" s="115">
        <v>3.9</v>
      </c>
      <c r="AE78" s="57">
        <v>7</v>
      </c>
      <c r="AF78" s="116"/>
      <c r="AG78" s="106">
        <f t="shared" si="154"/>
        <v>3.9</v>
      </c>
      <c r="AH78" s="44">
        <f t="shared" si="155"/>
        <v>7</v>
      </c>
      <c r="AI78" s="103">
        <f t="shared" si="156"/>
        <v>0</v>
      </c>
      <c r="AJ78" s="45">
        <f t="shared" si="206"/>
        <v>0.97239999999999993</v>
      </c>
      <c r="AK78" s="45">
        <f t="shared" si="207"/>
        <v>0.74760000000000004</v>
      </c>
      <c r="AL78" s="45">
        <f t="shared" si="208"/>
        <v>0</v>
      </c>
      <c r="AM78" s="45">
        <f t="shared" si="209"/>
        <v>0</v>
      </c>
      <c r="AN78" s="45">
        <f t="shared" si="210"/>
        <v>2.3170232558139539</v>
      </c>
      <c r="AO78" s="46">
        <v>3.1E-2</v>
      </c>
      <c r="AP78" s="93">
        <f t="shared" si="212"/>
        <v>8.6151162790697677E-2</v>
      </c>
      <c r="AQ78" s="100">
        <f t="shared" si="202"/>
        <v>2.3170232558139539</v>
      </c>
      <c r="AR78" s="1">
        <f t="shared" si="203"/>
        <v>4</v>
      </c>
      <c r="AT78" s="51"/>
      <c r="AU78" s="52"/>
      <c r="AV78" s="52"/>
      <c r="AW78" s="54">
        <f>+AT78*AU78/1000000</f>
        <v>0</v>
      </c>
      <c r="AX78" s="52"/>
      <c r="AY78" s="52"/>
      <c r="AZ78" s="52"/>
      <c r="BA78" s="53"/>
      <c r="BB78" s="51"/>
      <c r="BC78" s="52"/>
      <c r="BD78" s="52"/>
      <c r="BE78" s="54">
        <f>+BB78*BC78/1000000</f>
        <v>0</v>
      </c>
      <c r="BF78" s="52"/>
      <c r="BG78" s="52"/>
      <c r="BH78" s="52"/>
      <c r="BI78" s="53"/>
      <c r="BJ78" s="51"/>
      <c r="BK78" s="52"/>
      <c r="BL78" s="52"/>
      <c r="BM78" s="54">
        <f>+BJ78*BK78/1000000</f>
        <v>0</v>
      </c>
      <c r="BN78" s="52"/>
      <c r="BO78" s="52"/>
      <c r="BP78" s="52"/>
      <c r="BQ78" s="53"/>
      <c r="BR78" s="51">
        <v>2960</v>
      </c>
      <c r="BS78" s="52">
        <v>2350</v>
      </c>
      <c r="BT78" s="52">
        <v>2</v>
      </c>
      <c r="BU78" s="54">
        <f t="shared" si="220"/>
        <v>6.9560000000000004</v>
      </c>
      <c r="BV78" s="52">
        <v>4</v>
      </c>
      <c r="BW78" s="52" t="s">
        <v>82</v>
      </c>
      <c r="BX78" s="52" t="s">
        <v>81</v>
      </c>
      <c r="BY78" s="53">
        <v>1</v>
      </c>
      <c r="BZ78" s="51">
        <v>2000</v>
      </c>
      <c r="CA78" s="52">
        <v>1500</v>
      </c>
      <c r="CB78" s="52">
        <f t="shared" si="221"/>
        <v>3</v>
      </c>
      <c r="CC78" s="52">
        <v>32</v>
      </c>
      <c r="CD78" s="52">
        <v>29</v>
      </c>
      <c r="CE78" s="52">
        <v>33</v>
      </c>
      <c r="CF78" s="52">
        <v>33</v>
      </c>
      <c r="CG78" s="52">
        <f t="shared" si="222"/>
        <v>57.333333333333336</v>
      </c>
      <c r="CH78" s="53">
        <f t="shared" si="223"/>
        <v>0</v>
      </c>
      <c r="CI78" s="68">
        <f t="shared" si="244"/>
        <v>2150</v>
      </c>
      <c r="CJ78" s="70">
        <f t="shared" si="244"/>
        <v>1.72</v>
      </c>
      <c r="CK78" s="72">
        <f t="shared" si="204"/>
        <v>1</v>
      </c>
      <c r="CL78" s="51" t="str">
        <f t="shared" si="224"/>
        <v>0</v>
      </c>
      <c r="CM78" s="52">
        <f t="shared" si="225"/>
        <v>0</v>
      </c>
      <c r="CN78" s="52" t="str">
        <f t="shared" si="226"/>
        <v>0</v>
      </c>
      <c r="CO78" s="53" t="str">
        <f t="shared" si="227"/>
        <v>0</v>
      </c>
      <c r="CP78" s="64" t="str">
        <f t="shared" si="228"/>
        <v>0</v>
      </c>
      <c r="CQ78" s="52">
        <f t="shared" si="229"/>
        <v>0</v>
      </c>
      <c r="CR78" s="52" t="str">
        <f t="shared" si="230"/>
        <v>0</v>
      </c>
      <c r="CS78" s="63" t="str">
        <f t="shared" si="231"/>
        <v>0</v>
      </c>
      <c r="CT78" s="51" t="str">
        <f t="shared" si="232"/>
        <v>0</v>
      </c>
      <c r="CU78" s="52">
        <f t="shared" si="233"/>
        <v>0</v>
      </c>
      <c r="CV78" s="52" t="str">
        <f t="shared" si="234"/>
        <v>0</v>
      </c>
      <c r="CW78" s="53" t="str">
        <f t="shared" si="235"/>
        <v>0</v>
      </c>
      <c r="CX78" s="51">
        <f t="shared" si="236"/>
        <v>4</v>
      </c>
      <c r="CY78" s="52">
        <f t="shared" si="237"/>
        <v>7</v>
      </c>
      <c r="CZ78" s="52" t="str">
        <f t="shared" si="238"/>
        <v>C</v>
      </c>
      <c r="DA78" s="53">
        <f t="shared" si="239"/>
        <v>1</v>
      </c>
      <c r="DB78" s="51">
        <f t="shared" si="218"/>
        <v>4</v>
      </c>
      <c r="DC78" s="52" t="str">
        <f t="shared" si="219"/>
        <v>7A</v>
      </c>
      <c r="DD78" s="52" t="str">
        <f t="shared" si="240"/>
        <v>C</v>
      </c>
      <c r="DE78" s="52">
        <f t="shared" si="192"/>
        <v>1</v>
      </c>
      <c r="DF78" s="52">
        <f t="shared" si="241"/>
        <v>33</v>
      </c>
      <c r="DG78" s="58">
        <f t="shared" si="242"/>
        <v>2.3170232558139539</v>
      </c>
    </row>
    <row r="79" spans="3:111" ht="15" thickBot="1">
      <c r="CK79" s="20"/>
    </row>
    <row r="80" spans="3:111" ht="15.75" thickBot="1">
      <c r="C80" s="4"/>
      <c r="AA80" s="203" t="s">
        <v>27</v>
      </c>
      <c r="AB80" s="205"/>
      <c r="AC80" s="204"/>
      <c r="AD80" s="203" t="s">
        <v>28</v>
      </c>
      <c r="AE80" s="205"/>
      <c r="AF80" s="204"/>
      <c r="AT80" s="220" t="s">
        <v>30</v>
      </c>
      <c r="AU80" s="221"/>
      <c r="AV80" s="221"/>
      <c r="AW80" s="221"/>
      <c r="AX80" s="221"/>
      <c r="AY80" s="221"/>
      <c r="AZ80" s="221"/>
      <c r="BA80" s="222"/>
      <c r="BB80" s="220" t="s">
        <v>31</v>
      </c>
      <c r="BC80" s="221"/>
      <c r="BD80" s="221"/>
      <c r="BE80" s="221"/>
      <c r="BF80" s="221"/>
      <c r="BG80" s="221"/>
      <c r="BH80" s="221"/>
      <c r="BI80" s="222"/>
      <c r="BJ80" s="220" t="s">
        <v>32</v>
      </c>
      <c r="BK80" s="221"/>
      <c r="BL80" s="221"/>
      <c r="BM80" s="221"/>
      <c r="BN80" s="221"/>
      <c r="BO80" s="221"/>
      <c r="BP80" s="221"/>
      <c r="BQ80" s="222"/>
      <c r="BR80" s="220" t="s">
        <v>33</v>
      </c>
      <c r="BS80" s="221"/>
      <c r="BT80" s="221"/>
      <c r="BU80" s="221"/>
      <c r="BV80" s="221"/>
      <c r="BW80" s="221"/>
      <c r="BX80" s="221"/>
      <c r="BY80" s="222"/>
      <c r="BZ80" s="225" t="s">
        <v>34</v>
      </c>
      <c r="CA80" s="226"/>
      <c r="CB80" s="226"/>
      <c r="CC80" s="226"/>
      <c r="CD80" s="226"/>
      <c r="CE80" s="226"/>
      <c r="CF80" s="226"/>
      <c r="CG80" s="226"/>
      <c r="CH80" s="227"/>
      <c r="CI80" s="65"/>
      <c r="CJ80" s="65"/>
      <c r="CK80" s="65"/>
      <c r="CL80" s="220">
        <v>1</v>
      </c>
      <c r="CM80" s="221"/>
      <c r="CN80" s="221"/>
      <c r="CO80" s="222"/>
      <c r="CP80" s="228">
        <v>2</v>
      </c>
      <c r="CQ80" s="226"/>
      <c r="CR80" s="226"/>
      <c r="CS80" s="229"/>
      <c r="CT80" s="220">
        <v>3</v>
      </c>
      <c r="CU80" s="221"/>
      <c r="CV80" s="221"/>
      <c r="CW80" s="222"/>
      <c r="CX80" s="220">
        <v>4</v>
      </c>
      <c r="CY80" s="221"/>
      <c r="CZ80" s="221"/>
      <c r="DA80" s="222"/>
      <c r="DB80" s="220" t="s">
        <v>35</v>
      </c>
      <c r="DC80" s="221"/>
      <c r="DD80" s="221"/>
      <c r="DE80" s="221"/>
      <c r="DF80" s="221"/>
      <c r="DG80" s="222"/>
    </row>
    <row r="81" spans="3:111" ht="15" customHeight="1" thickBot="1">
      <c r="C81" s="203" t="s">
        <v>144</v>
      </c>
      <c r="D81" s="204"/>
      <c r="L81" s="3"/>
      <c r="N81" s="2"/>
      <c r="O81" s="28" t="s">
        <v>38</v>
      </c>
      <c r="P81" s="198" t="s">
        <v>39</v>
      </c>
      <c r="Q81" s="198" t="s">
        <v>40</v>
      </c>
      <c r="R81" s="198" t="s">
        <v>41</v>
      </c>
      <c r="S81" s="30" t="s">
        <v>42</v>
      </c>
      <c r="T81" s="199" t="s">
        <v>43</v>
      </c>
      <c r="U81" s="30" t="s">
        <v>44</v>
      </c>
      <c r="V81" s="30" t="s">
        <v>45</v>
      </c>
      <c r="W81" s="30" t="s">
        <v>46</v>
      </c>
      <c r="X81" s="30" t="s">
        <v>47</v>
      </c>
      <c r="Y81" s="31" t="s">
        <v>48</v>
      </c>
      <c r="Z81" s="31" t="s">
        <v>49</v>
      </c>
      <c r="AA81" s="28" t="s">
        <v>50</v>
      </c>
      <c r="AB81" s="30" t="s">
        <v>51</v>
      </c>
      <c r="AC81" s="107" t="s">
        <v>52</v>
      </c>
      <c r="AD81" s="28" t="s">
        <v>50</v>
      </c>
      <c r="AE81" s="30" t="s">
        <v>51</v>
      </c>
      <c r="AF81" s="107" t="s">
        <v>52</v>
      </c>
      <c r="AG81" s="199" t="s">
        <v>50</v>
      </c>
      <c r="AH81" s="30" t="s">
        <v>51</v>
      </c>
      <c r="AI81" s="30" t="s">
        <v>52</v>
      </c>
      <c r="AJ81" s="30" t="s">
        <v>53</v>
      </c>
      <c r="AK81" s="30" t="s">
        <v>54</v>
      </c>
      <c r="AL81" s="30" t="s">
        <v>55</v>
      </c>
      <c r="AM81" s="30" t="s">
        <v>56</v>
      </c>
      <c r="AN81" s="30" t="s">
        <v>57</v>
      </c>
      <c r="AO81" s="199" t="s">
        <v>58</v>
      </c>
      <c r="AP81" s="31" t="s">
        <v>58</v>
      </c>
      <c r="AQ81" s="32" t="s">
        <v>57</v>
      </c>
      <c r="AR81" s="1" t="s">
        <v>59</v>
      </c>
      <c r="AT81" s="49" t="s">
        <v>43</v>
      </c>
      <c r="AU81" s="29" t="s">
        <v>44</v>
      </c>
      <c r="AV81" s="29" t="s">
        <v>60</v>
      </c>
      <c r="AW81" s="29" t="s">
        <v>61</v>
      </c>
      <c r="AX81" s="29" t="s">
        <v>62</v>
      </c>
      <c r="AY81" s="29" t="s">
        <v>63</v>
      </c>
      <c r="AZ81" s="223" t="s">
        <v>64</v>
      </c>
      <c r="BA81" s="230"/>
      <c r="BB81" s="49" t="s">
        <v>43</v>
      </c>
      <c r="BC81" s="29" t="s">
        <v>44</v>
      </c>
      <c r="BD81" s="29" t="s">
        <v>60</v>
      </c>
      <c r="BE81" s="29"/>
      <c r="BF81" s="29" t="s">
        <v>62</v>
      </c>
      <c r="BG81" s="29" t="s">
        <v>63</v>
      </c>
      <c r="BH81" s="223" t="s">
        <v>64</v>
      </c>
      <c r="BI81" s="230"/>
      <c r="BJ81" s="49" t="s">
        <v>43</v>
      </c>
      <c r="BK81" s="29" t="s">
        <v>44</v>
      </c>
      <c r="BL81" s="29" t="s">
        <v>60</v>
      </c>
      <c r="BM81" s="29" t="s">
        <v>61</v>
      </c>
      <c r="BN81" s="29" t="s">
        <v>62</v>
      </c>
      <c r="BO81" s="29" t="s">
        <v>63</v>
      </c>
      <c r="BP81" s="223" t="s">
        <v>64</v>
      </c>
      <c r="BQ81" s="230"/>
      <c r="BR81" s="49" t="s">
        <v>43</v>
      </c>
      <c r="BS81" s="29" t="s">
        <v>44</v>
      </c>
      <c r="BT81" s="29" t="s">
        <v>60</v>
      </c>
      <c r="BU81" s="29" t="s">
        <v>61</v>
      </c>
      <c r="BV81" s="29" t="s">
        <v>62</v>
      </c>
      <c r="BW81" s="29" t="s">
        <v>63</v>
      </c>
      <c r="BX81" s="223" t="s">
        <v>64</v>
      </c>
      <c r="BY81" s="230"/>
      <c r="BZ81" s="49" t="s">
        <v>43</v>
      </c>
      <c r="CA81" s="29" t="s">
        <v>44</v>
      </c>
      <c r="CB81" s="29" t="s">
        <v>61</v>
      </c>
      <c r="CC81" s="29" t="s">
        <v>65</v>
      </c>
      <c r="CD81" s="29" t="s">
        <v>66</v>
      </c>
      <c r="CE81" s="29" t="s">
        <v>67</v>
      </c>
      <c r="CF81" s="29" t="s">
        <v>68</v>
      </c>
      <c r="CG81" s="29" t="s">
        <v>69</v>
      </c>
      <c r="CH81" s="50"/>
      <c r="CI81" s="66" t="s">
        <v>44</v>
      </c>
      <c r="CJ81" s="66" t="s">
        <v>70</v>
      </c>
      <c r="CK81" s="66" t="s">
        <v>60</v>
      </c>
      <c r="CL81" s="73" t="s">
        <v>71</v>
      </c>
      <c r="CM81" s="74" t="s">
        <v>72</v>
      </c>
      <c r="CN81" s="75" t="s">
        <v>73</v>
      </c>
      <c r="CO81" s="76" t="s">
        <v>73</v>
      </c>
      <c r="CP81" s="74" t="s">
        <v>70</v>
      </c>
      <c r="CQ81" s="75" t="s">
        <v>70</v>
      </c>
      <c r="CR81" s="75" t="s">
        <v>73</v>
      </c>
      <c r="CS81" s="77" t="s">
        <v>73</v>
      </c>
      <c r="CT81" s="73" t="s">
        <v>70</v>
      </c>
      <c r="CU81" s="75" t="s">
        <v>70</v>
      </c>
      <c r="CV81" s="75" t="s">
        <v>73</v>
      </c>
      <c r="CW81" s="76" t="s">
        <v>73</v>
      </c>
      <c r="CX81" s="73" t="s">
        <v>70</v>
      </c>
      <c r="CY81" s="75" t="s">
        <v>70</v>
      </c>
      <c r="CZ81" s="77" t="s">
        <v>73</v>
      </c>
      <c r="DA81" s="76" t="s">
        <v>73</v>
      </c>
      <c r="DB81" s="49" t="s">
        <v>62</v>
      </c>
      <c r="DC81" s="29" t="s">
        <v>63</v>
      </c>
      <c r="DD81" s="223" t="s">
        <v>64</v>
      </c>
      <c r="DE81" s="224"/>
      <c r="DF81" s="29" t="s">
        <v>34</v>
      </c>
      <c r="DG81" s="50" t="s">
        <v>74</v>
      </c>
    </row>
    <row r="82" spans="3:111" ht="15" customHeight="1">
      <c r="C82" s="14" t="s">
        <v>75</v>
      </c>
      <c r="D82" s="22" t="s">
        <v>102</v>
      </c>
      <c r="F82" s="211" t="s">
        <v>77</v>
      </c>
      <c r="G82" s="212"/>
      <c r="H82" s="212"/>
      <c r="I82" s="213"/>
      <c r="L82" s="3"/>
      <c r="N82" s="25" t="s">
        <v>79</v>
      </c>
      <c r="O82" s="40">
        <f>+$D$84</f>
        <v>1</v>
      </c>
      <c r="P82" s="33">
        <f>+H$93</f>
        <v>0</v>
      </c>
      <c r="Q82" s="33">
        <f>+I$93</f>
        <v>0</v>
      </c>
      <c r="R82" s="34" t="s">
        <v>23</v>
      </c>
      <c r="S82" s="33" t="str">
        <f>+IF(I$9="N","N","BE")</f>
        <v>BE</v>
      </c>
      <c r="T82" s="33">
        <f>+$D$87</f>
        <v>800</v>
      </c>
      <c r="U82" s="33">
        <f>+$D$88</f>
        <v>1150</v>
      </c>
      <c r="V82" s="96">
        <f>+T82*U82/1000000</f>
        <v>0.92</v>
      </c>
      <c r="W82" s="34">
        <v>92.2</v>
      </c>
      <c r="X82" s="34">
        <v>149.4</v>
      </c>
      <c r="Y82" s="34">
        <v>149.4</v>
      </c>
      <c r="Z82" s="101">
        <f>+$D$95</f>
        <v>1.33</v>
      </c>
      <c r="AA82" s="108">
        <v>6.1</v>
      </c>
      <c r="AB82" s="55">
        <v>6.1</v>
      </c>
      <c r="AC82" s="109">
        <v>6.1</v>
      </c>
      <c r="AD82" s="108">
        <v>6.1</v>
      </c>
      <c r="AE82" s="55">
        <v>6.1</v>
      </c>
      <c r="AF82" s="109">
        <v>6.1</v>
      </c>
      <c r="AG82" s="104">
        <f t="shared" ref="AG82:AG103" si="245">+IF($D$12="SI",AD82,AA82)</f>
        <v>6.1</v>
      </c>
      <c r="AH82" s="34">
        <f t="shared" ref="AH82:AH103" si="246">+IF($D$12="SI",AE82,AB82)</f>
        <v>6.1</v>
      </c>
      <c r="AI82" s="101">
        <f t="shared" ref="AI82:AI103" si="247">+IF($D$12="SI",AF82,AC82)</f>
        <v>6.1</v>
      </c>
      <c r="AJ82" s="35">
        <f t="shared" ref="AJ82:AJ88" si="248">+(T82*U82)/1000000-AK82-AL82-AM82</f>
        <v>0.59442335999999996</v>
      </c>
      <c r="AK82" s="35">
        <f t="shared" ref="AK82:AK89" si="249">+(T82*U82-(T82-2*W82)*(U82-2*W82))/1000000</f>
        <v>0.32557664000000003</v>
      </c>
      <c r="AL82" s="35">
        <f t="shared" ref="AL82:AL89" si="250">+(U82-2*W82)/1000000*X82*P82</f>
        <v>0</v>
      </c>
      <c r="AM82" s="35">
        <f t="shared" ref="AM82:AM89" si="251">+(U82-2*W82)/1000000*Y82*Q82</f>
        <v>0</v>
      </c>
      <c r="AN82" s="35">
        <f t="shared" ref="AN82:AN88" si="252">+(Z82*AJ82+AG82*AK82+AL82*AH82+AI82*AM82)/(AJ82+AK82+AL82+AM82)</f>
        <v>3.0180441008695653</v>
      </c>
      <c r="AO82" s="140">
        <f t="shared" ref="AO82:AO87" si="253">+IF(R82="NO",0,IF(S82="BE",0.08,0.06))</f>
        <v>0</v>
      </c>
      <c r="AP82" s="91">
        <f t="shared" ref="AP82:AP88" si="254">+AO82*((T82-2*W82-P82*X82-Q82*Y82)/1000*2+(U82-2*W82)/1000*2*(P82+Q82+1))/(AJ82+AK82+AL82+AM82)</f>
        <v>0</v>
      </c>
      <c r="AQ82" s="94">
        <f>+AN82</f>
        <v>3.0180441008695653</v>
      </c>
      <c r="AR82" s="1">
        <f t="shared" ref="AR82:AR103" si="255">+DB82</f>
        <v>4</v>
      </c>
      <c r="AT82" s="49"/>
      <c r="AU82" s="29"/>
      <c r="AV82" s="29"/>
      <c r="AW82" s="48">
        <f t="shared" ref="AW82:AW88" si="256">+AT82*AU82/1000000</f>
        <v>0</v>
      </c>
      <c r="AX82" s="29"/>
      <c r="AY82" s="29"/>
      <c r="AZ82" s="29"/>
      <c r="BA82" s="50"/>
      <c r="BB82" s="49"/>
      <c r="BC82" s="29"/>
      <c r="BD82" s="29"/>
      <c r="BE82" s="48">
        <f t="shared" ref="BE82:BE88" si="257">+BB82*BC82/1000000</f>
        <v>0</v>
      </c>
      <c r="BF82" s="29"/>
      <c r="BG82" s="29"/>
      <c r="BH82" s="29"/>
      <c r="BI82" s="50"/>
      <c r="BJ82" s="49">
        <v>1400</v>
      </c>
      <c r="BK82" s="29">
        <v>1500</v>
      </c>
      <c r="BL82" s="29">
        <v>2</v>
      </c>
      <c r="BM82" s="48">
        <f t="shared" ref="BM82:BM89" si="258">+BJ82*BK82/1000000</f>
        <v>2.1</v>
      </c>
      <c r="BN82" s="29">
        <v>4</v>
      </c>
      <c r="BO82" s="29" t="s">
        <v>80</v>
      </c>
      <c r="BP82" s="29" t="s">
        <v>81</v>
      </c>
      <c r="BQ82" s="50">
        <v>4</v>
      </c>
      <c r="BR82" s="49">
        <v>1600</v>
      </c>
      <c r="BS82" s="29">
        <v>2100</v>
      </c>
      <c r="BT82" s="29">
        <v>2</v>
      </c>
      <c r="BU82" s="48">
        <f t="shared" ref="BU82:BU96" si="259">+BR82*BS82/1000000</f>
        <v>3.36</v>
      </c>
      <c r="BV82" s="29">
        <v>4</v>
      </c>
      <c r="BW82" s="29" t="s">
        <v>82</v>
      </c>
      <c r="BX82" s="29" t="s">
        <v>81</v>
      </c>
      <c r="BY82" s="50">
        <v>2</v>
      </c>
      <c r="BZ82" s="49">
        <v>1400</v>
      </c>
      <c r="CA82" s="29">
        <v>1500</v>
      </c>
      <c r="CB82" s="29">
        <f t="shared" ref="CB82:CB96" si="260">+BZ82*CA82/1000000</f>
        <v>2.1</v>
      </c>
      <c r="CC82" s="29">
        <v>31</v>
      </c>
      <c r="CD82" s="29">
        <v>29</v>
      </c>
      <c r="CE82" s="29">
        <v>34</v>
      </c>
      <c r="CF82" s="29">
        <v>33</v>
      </c>
      <c r="CG82" s="29">
        <f t="shared" ref="CG82:CG96" si="261">+V82/CB82*100</f>
        <v>43.80952380952381</v>
      </c>
      <c r="CH82" s="50">
        <f t="shared" ref="CH82:CH96" si="262">+IF(CG82&lt;150,0,IF(CG82&lt;200,1,IF(CG82&lt;250,2,3)))</f>
        <v>0</v>
      </c>
      <c r="CI82" s="67">
        <f t="shared" ref="CI82:CI91" si="263">+U82</f>
        <v>1150</v>
      </c>
      <c r="CJ82" s="69">
        <f t="shared" ref="CJ82:CJ91" si="264">+V82</f>
        <v>0.92</v>
      </c>
      <c r="CK82" s="71">
        <f>+$J$19</f>
        <v>1</v>
      </c>
      <c r="CL82" s="49" t="str">
        <f t="shared" ref="CL82:CL96" si="265">+IF(OR(CJ82&gt;AW82*1.5,CK82&gt;AV82)=TRUE,"0",AX82)</f>
        <v>0</v>
      </c>
      <c r="CM82" s="29">
        <f t="shared" ref="CM82:CM96" si="266">VALUE(IF(OR(CJ82&gt;AW82*1.5,CK82&gt;AV82)=TRUE,"0",IF(LEN(AY82)=2,MID(AY82,1,1),MID(AY82,2,4))))</f>
        <v>0</v>
      </c>
      <c r="CN82" s="29" t="str">
        <f t="shared" ref="CN82:CN96" si="267">+IF(OR(CI82&gt;AU82,CJ82&gt;AW82,CK82&gt;AV82)=TRUE,"0",AZ82)</f>
        <v>0</v>
      </c>
      <c r="CO82" s="50" t="str">
        <f t="shared" ref="CO82:CO96" si="268">+IF(OR(CI82&gt;AU82,CJ82&gt;AW82,CK82&gt;AV82)=TRUE,"0",BA82)</f>
        <v>0</v>
      </c>
      <c r="CP82" s="195" t="str">
        <f t="shared" ref="CP82:CP96" si="269">+IF(OR(CJ82&gt;BE82*1.5,CK82&gt;BD82)=TRUE,"0",BF82)</f>
        <v>0</v>
      </c>
      <c r="CQ82" s="29">
        <f t="shared" ref="CQ82:CQ96" si="270">VALUE(IF(OR(CJ82&gt;BE82*1.5,CK82&gt;BD82)=TRUE,"0",IF(LEN(BG82)=2,MID(BG82,1,1),MID(BG82,2,4))))</f>
        <v>0</v>
      </c>
      <c r="CR82" s="29" t="str">
        <f t="shared" ref="CR82:CR96" si="271">+IF(OR(CI82&gt;BC82,CJ82&gt;BE82,CK82&gt;BD82)=TRUE,"0",BH82)</f>
        <v>0</v>
      </c>
      <c r="CS82" s="194" t="str">
        <f t="shared" ref="CS82:CS96" si="272">+IF(OR(CI82&gt;BC82,CJ82&gt;BE82,CK82&gt;BD82)=TRUE,"0",BI82)</f>
        <v>0</v>
      </c>
      <c r="CT82" s="49">
        <f t="shared" ref="CT82:CT96" si="273">+IF(OR(CJ82&gt;BM82*1.5,CK82&gt;BL82)=TRUE,"0",BN82)</f>
        <v>4</v>
      </c>
      <c r="CU82" s="29">
        <f t="shared" ref="CU82:CU96" si="274">VALUE(IF(OR(CJ82&gt;BM82*1.5,CK82&gt;BL82)=TRUE,"0",IF(LEN(BO82)=2,MID(BO82,1,1),MID(BO82,2,4))))</f>
        <v>1350</v>
      </c>
      <c r="CV82" s="29" t="str">
        <f t="shared" ref="CV82:CV96" si="275">+IF(OR(CI82&gt;BK82,CJ82&gt;BM82,CK82&gt;BL82)=TRUE,"0",BP82)</f>
        <v>C</v>
      </c>
      <c r="CW82" s="50">
        <f t="shared" ref="CW82:CW96" si="276">+IF(OR(CI82&gt;BK82,CJ82&gt;BM82,CK82&gt;BL82)=TRUE,"0",BQ82)</f>
        <v>4</v>
      </c>
      <c r="CX82" s="49">
        <f t="shared" ref="CX82:CX96" si="277">+IF(OR(CJ82&gt;BU82*1.5,CK82&gt;BT82)=TRUE,"0",BV82)</f>
        <v>4</v>
      </c>
      <c r="CY82" s="29">
        <f t="shared" ref="CY82:CY96" si="278">VALUE(IF(OR(CJ82&gt;BU82*1.5,CK82&gt;BT82)=TRUE,"0",IF(LEN(BW82)=2,MID(BW82,1,1),MID(BW82,2,4))))</f>
        <v>7</v>
      </c>
      <c r="CZ82" s="29" t="str">
        <f t="shared" ref="CZ82:CZ96" si="279">+IF(OR(CI82&gt;BS82,CJ82&gt;BU82,CK82&gt;BT82)=TRUE,"0",BX82)</f>
        <v>C</v>
      </c>
      <c r="DA82" s="50">
        <f t="shared" ref="DA82:DA96" si="280">+IF(OR(CI82&gt;BS82,CJ82&gt;BU82,CK82&gt;BT82)=TRUE,"0",BY82)</f>
        <v>2</v>
      </c>
      <c r="DB82" s="49">
        <f t="shared" ref="DB82:DB89" si="281">IF(MAX(CL82,CP82,CT82,CX82)=0,"NPD",MAX(CL82,CP82,CT82,CX82))</f>
        <v>4</v>
      </c>
      <c r="DC82" s="29" t="str">
        <f t="shared" ref="DC82:DC89" si="282">IF(MAX(CM82,CQ82,CU82,CY82)&gt;10,"E"&amp;MAX(CM82,CQ82,CU82,CY82),IF(MAX(CM82,CQ82,CU82,CY82)=0,"NPD",MAX(CM82,CQ82,CU82,CY82)&amp;"A"))</f>
        <v>E1350</v>
      </c>
      <c r="DD82" s="29" t="str">
        <f t="shared" ref="DD82:DD89" si="283">+IF(OR(CN82="C",CR82="C",CV82="C",CZ82="C")=TRUE,"C",IF(OR(CN82="B",CR82="B",CV82="B",CZ82="B")=TRUE,"B",IF(OR(CN82="A",CR82="A",CV82="A",CZ82="A")=TRUE,"A","B")))</f>
        <v>C</v>
      </c>
      <c r="DE82" s="29">
        <f t="shared" ref="DE82:DE103" si="284">IF(MAX(CO82,CS82,CW82,DA82)=0,"1",MAX(CO82,CS82,CW82,DA82))</f>
        <v>4</v>
      </c>
      <c r="DF82" s="29">
        <f t="shared" ref="DF82:DF96" si="285">+IF(D$22&lt;CD82,"NPD",IF(D$22&lt;CF82,CC82-CH82,CE82-CH82))</f>
        <v>34</v>
      </c>
      <c r="DG82" s="47">
        <f t="shared" ref="DG82:DG96" si="286">+AN82</f>
        <v>3.0180441008695653</v>
      </c>
    </row>
    <row r="83" spans="3:111" ht="15" customHeight="1" thickBot="1">
      <c r="C83" s="15" t="s">
        <v>83</v>
      </c>
      <c r="D83" s="11" t="s">
        <v>84</v>
      </c>
      <c r="F83" s="231" t="s">
        <v>85</v>
      </c>
      <c r="G83" s="216"/>
      <c r="H83" s="216"/>
      <c r="I83" s="217"/>
      <c r="L83" s="3"/>
      <c r="N83" s="26" t="s">
        <v>87</v>
      </c>
      <c r="O83" s="41">
        <f t="shared" ref="O83:O103" si="287">+$D$84</f>
        <v>1</v>
      </c>
      <c r="P83" s="36">
        <f t="shared" ref="P83:P103" si="288">+H$93</f>
        <v>0</v>
      </c>
      <c r="Q83" s="36">
        <f t="shared" ref="Q83:Q103" si="289">+I$93</f>
        <v>0</v>
      </c>
      <c r="R83" s="37" t="s">
        <v>23</v>
      </c>
      <c r="S83" s="37" t="str">
        <f t="shared" ref="S83:S88" si="290">+IF(I$9="N","N","BE")</f>
        <v>BE</v>
      </c>
      <c r="T83" s="37">
        <f t="shared" ref="T83:T103" si="291">+$D$87</f>
        <v>800</v>
      </c>
      <c r="U83" s="37">
        <f t="shared" ref="U83:U103" si="292">+$D$88</f>
        <v>1150</v>
      </c>
      <c r="V83" s="97">
        <f t="shared" ref="V83:V103" si="293">+T83*U83/1000000</f>
        <v>0.92</v>
      </c>
      <c r="W83" s="37">
        <v>95.5</v>
      </c>
      <c r="X83" s="37">
        <v>152.30000000000001</v>
      </c>
      <c r="Y83" s="37">
        <v>152.30000000000001</v>
      </c>
      <c r="Z83" s="102">
        <f t="shared" ref="Z83:Z103" si="294">+$D$95</f>
        <v>1.33</v>
      </c>
      <c r="AA83" s="110">
        <v>6.1</v>
      </c>
      <c r="AB83" s="56">
        <v>6.2</v>
      </c>
      <c r="AC83" s="111">
        <v>6.2</v>
      </c>
      <c r="AD83" s="110">
        <v>6.1</v>
      </c>
      <c r="AE83" s="56">
        <v>6.2</v>
      </c>
      <c r="AF83" s="111">
        <v>6.2</v>
      </c>
      <c r="AG83" s="105">
        <f t="shared" si="245"/>
        <v>6.1</v>
      </c>
      <c r="AH83" s="37">
        <f t="shared" si="246"/>
        <v>6.2</v>
      </c>
      <c r="AI83" s="102">
        <f t="shared" si="247"/>
        <v>6.2</v>
      </c>
      <c r="AJ83" s="38">
        <f t="shared" si="248"/>
        <v>0.58403099999999997</v>
      </c>
      <c r="AK83" s="38">
        <f t="shared" si="249"/>
        <v>0.33596900000000002</v>
      </c>
      <c r="AL83" s="38">
        <f t="shared" si="250"/>
        <v>0</v>
      </c>
      <c r="AM83" s="38">
        <f t="shared" si="251"/>
        <v>0</v>
      </c>
      <c r="AN83" s="38">
        <f t="shared" si="252"/>
        <v>3.0719262282608697</v>
      </c>
      <c r="AO83" s="39">
        <f t="shared" si="253"/>
        <v>0</v>
      </c>
      <c r="AP83" s="92">
        <f t="shared" si="254"/>
        <v>0</v>
      </c>
      <c r="AQ83" s="94">
        <f t="shared" ref="AQ83:AQ103" si="295">+AN83</f>
        <v>3.0719262282608697</v>
      </c>
      <c r="AR83" s="1">
        <f t="shared" si="255"/>
        <v>4</v>
      </c>
      <c r="AT83" s="49"/>
      <c r="AU83" s="29"/>
      <c r="AV83" s="29"/>
      <c r="AW83" s="48">
        <f t="shared" si="256"/>
        <v>0</v>
      </c>
      <c r="AX83" s="29"/>
      <c r="AY83" s="29"/>
      <c r="AZ83" s="29"/>
      <c r="BA83" s="50"/>
      <c r="BB83" s="49"/>
      <c r="BC83" s="29"/>
      <c r="BD83" s="29"/>
      <c r="BE83" s="48">
        <f t="shared" si="257"/>
        <v>0</v>
      </c>
      <c r="BF83" s="29"/>
      <c r="BG83" s="29"/>
      <c r="BH83" s="29"/>
      <c r="BI83" s="50"/>
      <c r="BJ83" s="49">
        <v>1400</v>
      </c>
      <c r="BK83" s="29">
        <v>1500</v>
      </c>
      <c r="BL83" s="29">
        <v>2</v>
      </c>
      <c r="BM83" s="48">
        <f t="shared" si="258"/>
        <v>2.1</v>
      </c>
      <c r="BN83" s="29">
        <v>4</v>
      </c>
      <c r="BO83" s="29" t="s">
        <v>88</v>
      </c>
      <c r="BP83" s="29" t="s">
        <v>81</v>
      </c>
      <c r="BQ83" s="50">
        <v>4</v>
      </c>
      <c r="BR83" s="49">
        <v>1600</v>
      </c>
      <c r="BS83" s="29">
        <v>2100</v>
      </c>
      <c r="BT83" s="29">
        <v>2</v>
      </c>
      <c r="BU83" s="48">
        <f t="shared" si="259"/>
        <v>3.36</v>
      </c>
      <c r="BV83" s="29">
        <v>4</v>
      </c>
      <c r="BW83" s="29" t="s">
        <v>88</v>
      </c>
      <c r="BX83" s="29" t="s">
        <v>81</v>
      </c>
      <c r="BY83" s="50">
        <v>2</v>
      </c>
      <c r="BZ83" s="49">
        <v>1400</v>
      </c>
      <c r="CA83" s="29">
        <v>1500</v>
      </c>
      <c r="CB83" s="29">
        <f t="shared" si="260"/>
        <v>2.1</v>
      </c>
      <c r="CC83" s="29">
        <v>30</v>
      </c>
      <c r="CD83" s="29">
        <v>29</v>
      </c>
      <c r="CE83" s="29">
        <v>33</v>
      </c>
      <c r="CF83" s="29">
        <v>33</v>
      </c>
      <c r="CG83" s="29">
        <f t="shared" si="261"/>
        <v>43.80952380952381</v>
      </c>
      <c r="CH83" s="50">
        <f t="shared" si="262"/>
        <v>0</v>
      </c>
      <c r="CI83" s="67">
        <f t="shared" si="263"/>
        <v>1150</v>
      </c>
      <c r="CJ83" s="69">
        <f t="shared" si="264"/>
        <v>0.92</v>
      </c>
      <c r="CK83" s="71">
        <f t="shared" ref="CK83:CK103" si="296">+$J$19</f>
        <v>1</v>
      </c>
      <c r="CL83" s="49" t="str">
        <f t="shared" si="265"/>
        <v>0</v>
      </c>
      <c r="CM83" s="29">
        <f t="shared" si="266"/>
        <v>0</v>
      </c>
      <c r="CN83" s="29" t="str">
        <f t="shared" si="267"/>
        <v>0</v>
      </c>
      <c r="CO83" s="50" t="str">
        <f t="shared" si="268"/>
        <v>0</v>
      </c>
      <c r="CP83" s="195" t="str">
        <f t="shared" si="269"/>
        <v>0</v>
      </c>
      <c r="CQ83" s="29">
        <f t="shared" si="270"/>
        <v>0</v>
      </c>
      <c r="CR83" s="29" t="str">
        <f t="shared" si="271"/>
        <v>0</v>
      </c>
      <c r="CS83" s="194" t="str">
        <f t="shared" si="272"/>
        <v>0</v>
      </c>
      <c r="CT83" s="49">
        <f t="shared" si="273"/>
        <v>4</v>
      </c>
      <c r="CU83" s="29">
        <f t="shared" si="274"/>
        <v>9</v>
      </c>
      <c r="CV83" s="29" t="str">
        <f t="shared" si="275"/>
        <v>C</v>
      </c>
      <c r="CW83" s="50">
        <f t="shared" si="276"/>
        <v>4</v>
      </c>
      <c r="CX83" s="49">
        <f t="shared" si="277"/>
        <v>4</v>
      </c>
      <c r="CY83" s="29">
        <f t="shared" si="278"/>
        <v>9</v>
      </c>
      <c r="CZ83" s="29" t="str">
        <f t="shared" si="279"/>
        <v>C</v>
      </c>
      <c r="DA83" s="50">
        <f t="shared" si="280"/>
        <v>2</v>
      </c>
      <c r="DB83" s="49">
        <f t="shared" si="281"/>
        <v>4</v>
      </c>
      <c r="DC83" s="29" t="str">
        <f t="shared" si="282"/>
        <v>9A</v>
      </c>
      <c r="DD83" s="29" t="str">
        <f t="shared" si="283"/>
        <v>C</v>
      </c>
      <c r="DE83" s="29">
        <f t="shared" si="284"/>
        <v>4</v>
      </c>
      <c r="DF83" s="29">
        <f t="shared" si="285"/>
        <v>33</v>
      </c>
      <c r="DG83" s="47">
        <f t="shared" si="286"/>
        <v>3.0719262282608697</v>
      </c>
    </row>
    <row r="84" spans="3:111" ht="15" customHeight="1" thickBot="1">
      <c r="C84" s="15" t="s">
        <v>89</v>
      </c>
      <c r="D84" s="11">
        <v>1</v>
      </c>
      <c r="F84" s="150" t="s">
        <v>90</v>
      </c>
      <c r="G84" s="151">
        <v>0.42</v>
      </c>
      <c r="L84" s="3"/>
      <c r="N84" s="26" t="s">
        <v>92</v>
      </c>
      <c r="O84" s="41">
        <f t="shared" si="287"/>
        <v>1</v>
      </c>
      <c r="P84" s="36">
        <f t="shared" si="288"/>
        <v>0</v>
      </c>
      <c r="Q84" s="36">
        <f t="shared" si="289"/>
        <v>0</v>
      </c>
      <c r="R84" s="37" t="s">
        <v>21</v>
      </c>
      <c r="S84" s="37" t="str">
        <f t="shared" si="290"/>
        <v>BE</v>
      </c>
      <c r="T84" s="37">
        <f t="shared" si="291"/>
        <v>800</v>
      </c>
      <c r="U84" s="37">
        <f t="shared" si="292"/>
        <v>1150</v>
      </c>
      <c r="V84" s="97">
        <f t="shared" si="293"/>
        <v>0.92</v>
      </c>
      <c r="W84" s="37">
        <v>93.5</v>
      </c>
      <c r="X84" s="37">
        <v>143.19999999999999</v>
      </c>
      <c r="Y84" s="37">
        <v>143.19999999999999</v>
      </c>
      <c r="Z84" s="102">
        <f t="shared" si="294"/>
        <v>1.33</v>
      </c>
      <c r="AA84" s="110">
        <v>3.5</v>
      </c>
      <c r="AB84" s="56">
        <v>3.5</v>
      </c>
      <c r="AC84" s="111">
        <v>3.5</v>
      </c>
      <c r="AD84" s="110">
        <v>3.2</v>
      </c>
      <c r="AE84" s="56">
        <v>3.3</v>
      </c>
      <c r="AF84" s="111">
        <v>3.3</v>
      </c>
      <c r="AG84" s="105">
        <f t="shared" si="245"/>
        <v>3.2</v>
      </c>
      <c r="AH84" s="37">
        <f t="shared" si="246"/>
        <v>3.3</v>
      </c>
      <c r="AI84" s="102">
        <f t="shared" si="247"/>
        <v>3.3</v>
      </c>
      <c r="AJ84" s="38">
        <f t="shared" si="248"/>
        <v>0.59031900000000004</v>
      </c>
      <c r="AK84" s="38">
        <f t="shared" si="249"/>
        <v>0.329681</v>
      </c>
      <c r="AL84" s="38">
        <f t="shared" si="250"/>
        <v>0</v>
      </c>
      <c r="AM84" s="38">
        <f t="shared" si="251"/>
        <v>0</v>
      </c>
      <c r="AN84" s="38">
        <f t="shared" si="252"/>
        <v>2.0001124673913044</v>
      </c>
      <c r="AO84" s="39">
        <f t="shared" si="253"/>
        <v>0.08</v>
      </c>
      <c r="AP84" s="92">
        <f t="shared" si="254"/>
        <v>0.27408695652173909</v>
      </c>
      <c r="AQ84" s="94">
        <f t="shared" si="295"/>
        <v>2.0001124673913044</v>
      </c>
      <c r="AR84" s="1">
        <f t="shared" si="255"/>
        <v>4</v>
      </c>
      <c r="AT84" s="49">
        <v>2900</v>
      </c>
      <c r="AU84" s="29">
        <v>2300</v>
      </c>
      <c r="AV84" s="29">
        <v>4</v>
      </c>
      <c r="AW84" s="48">
        <f t="shared" si="256"/>
        <v>6.67</v>
      </c>
      <c r="AX84" s="29">
        <v>4</v>
      </c>
      <c r="AY84" s="29" t="s">
        <v>93</v>
      </c>
      <c r="AZ84" s="29" t="s">
        <v>81</v>
      </c>
      <c r="BA84" s="50">
        <v>1</v>
      </c>
      <c r="BB84" s="49">
        <v>820</v>
      </c>
      <c r="BC84" s="29">
        <v>2100</v>
      </c>
      <c r="BD84" s="29">
        <v>1</v>
      </c>
      <c r="BE84" s="48">
        <f t="shared" si="257"/>
        <v>1.722</v>
      </c>
      <c r="BF84" s="29">
        <v>4</v>
      </c>
      <c r="BG84" s="29" t="s">
        <v>94</v>
      </c>
      <c r="BH84" s="29" t="s">
        <v>81</v>
      </c>
      <c r="BI84" s="50">
        <v>5</v>
      </c>
      <c r="BJ84" s="49">
        <v>1400</v>
      </c>
      <c r="BK84" s="29">
        <v>1500</v>
      </c>
      <c r="BL84" s="29">
        <v>2</v>
      </c>
      <c r="BM84" s="48">
        <f t="shared" si="258"/>
        <v>2.1</v>
      </c>
      <c r="BN84" s="29">
        <v>4</v>
      </c>
      <c r="BO84" s="29" t="s">
        <v>95</v>
      </c>
      <c r="BP84" s="29" t="s">
        <v>81</v>
      </c>
      <c r="BQ84" s="50">
        <v>4</v>
      </c>
      <c r="BR84" s="49">
        <v>1600</v>
      </c>
      <c r="BS84" s="29">
        <v>2100</v>
      </c>
      <c r="BT84" s="29">
        <v>2</v>
      </c>
      <c r="BU84" s="48">
        <f t="shared" si="259"/>
        <v>3.36</v>
      </c>
      <c r="BV84" s="29">
        <v>4</v>
      </c>
      <c r="BW84" s="29" t="s">
        <v>82</v>
      </c>
      <c r="BX84" s="29" t="s">
        <v>81</v>
      </c>
      <c r="BY84" s="50">
        <v>2</v>
      </c>
      <c r="BZ84" s="49">
        <v>1400</v>
      </c>
      <c r="CA84" s="29">
        <v>1500</v>
      </c>
      <c r="CB84" s="29">
        <f t="shared" si="260"/>
        <v>2.1</v>
      </c>
      <c r="CC84" s="29">
        <v>33</v>
      </c>
      <c r="CD84" s="29">
        <v>29</v>
      </c>
      <c r="CE84" s="29">
        <v>36</v>
      </c>
      <c r="CF84" s="29">
        <v>33</v>
      </c>
      <c r="CG84" s="29">
        <f t="shared" si="261"/>
        <v>43.80952380952381</v>
      </c>
      <c r="CH84" s="50">
        <f t="shared" si="262"/>
        <v>0</v>
      </c>
      <c r="CI84" s="67">
        <f t="shared" si="263"/>
        <v>1150</v>
      </c>
      <c r="CJ84" s="69">
        <f t="shared" si="264"/>
        <v>0.92</v>
      </c>
      <c r="CK84" s="71">
        <f t="shared" si="296"/>
        <v>1</v>
      </c>
      <c r="CL84" s="49">
        <f t="shared" si="265"/>
        <v>4</v>
      </c>
      <c r="CM84" s="29">
        <f t="shared" si="266"/>
        <v>6</v>
      </c>
      <c r="CN84" s="29" t="str">
        <f t="shared" si="267"/>
        <v>C</v>
      </c>
      <c r="CO84" s="50">
        <f t="shared" si="268"/>
        <v>1</v>
      </c>
      <c r="CP84" s="195">
        <f t="shared" si="269"/>
        <v>4</v>
      </c>
      <c r="CQ84" s="29">
        <f t="shared" si="270"/>
        <v>1050</v>
      </c>
      <c r="CR84" s="29" t="str">
        <f t="shared" si="271"/>
        <v>C</v>
      </c>
      <c r="CS84" s="194">
        <f t="shared" si="272"/>
        <v>5</v>
      </c>
      <c r="CT84" s="49">
        <f t="shared" si="273"/>
        <v>4</v>
      </c>
      <c r="CU84" s="29">
        <f t="shared" si="274"/>
        <v>8</v>
      </c>
      <c r="CV84" s="29" t="str">
        <f t="shared" si="275"/>
        <v>C</v>
      </c>
      <c r="CW84" s="50">
        <f t="shared" si="276"/>
        <v>4</v>
      </c>
      <c r="CX84" s="49">
        <f t="shared" si="277"/>
        <v>4</v>
      </c>
      <c r="CY84" s="29">
        <f t="shared" si="278"/>
        <v>7</v>
      </c>
      <c r="CZ84" s="29" t="str">
        <f t="shared" si="279"/>
        <v>C</v>
      </c>
      <c r="DA84" s="50">
        <f t="shared" si="280"/>
        <v>2</v>
      </c>
      <c r="DB84" s="49">
        <f t="shared" si="281"/>
        <v>4</v>
      </c>
      <c r="DC84" s="29" t="str">
        <f t="shared" si="282"/>
        <v>E1050</v>
      </c>
      <c r="DD84" s="29" t="str">
        <f t="shared" si="283"/>
        <v>C</v>
      </c>
      <c r="DE84" s="29">
        <f t="shared" si="284"/>
        <v>5</v>
      </c>
      <c r="DF84" s="29">
        <f t="shared" si="285"/>
        <v>36</v>
      </c>
      <c r="DG84" s="47">
        <f t="shared" si="286"/>
        <v>2.0001124673913044</v>
      </c>
    </row>
    <row r="85" spans="3:111" ht="15" customHeight="1">
      <c r="C85" s="15" t="s">
        <v>96</v>
      </c>
      <c r="D85" s="11" t="s">
        <v>21</v>
      </c>
      <c r="F85" s="126" t="s">
        <v>97</v>
      </c>
      <c r="G85" s="127">
        <v>37</v>
      </c>
      <c r="L85"/>
      <c r="M85" s="18"/>
      <c r="N85" s="26" t="s">
        <v>98</v>
      </c>
      <c r="O85" s="41">
        <f t="shared" si="287"/>
        <v>1</v>
      </c>
      <c r="P85" s="36">
        <f t="shared" si="288"/>
        <v>0</v>
      </c>
      <c r="Q85" s="36">
        <f t="shared" si="289"/>
        <v>0</v>
      </c>
      <c r="R85" s="37" t="s">
        <v>21</v>
      </c>
      <c r="S85" s="37" t="str">
        <f t="shared" si="290"/>
        <v>BE</v>
      </c>
      <c r="T85" s="37">
        <f t="shared" si="291"/>
        <v>800</v>
      </c>
      <c r="U85" s="37">
        <f t="shared" si="292"/>
        <v>1150</v>
      </c>
      <c r="V85" s="97">
        <f t="shared" si="293"/>
        <v>0.92</v>
      </c>
      <c r="W85" s="37">
        <v>93.5</v>
      </c>
      <c r="X85" s="37">
        <v>143.19999999999999</v>
      </c>
      <c r="Y85" s="37">
        <v>143.19999999999999</v>
      </c>
      <c r="Z85" s="102">
        <f t="shared" si="294"/>
        <v>1.33</v>
      </c>
      <c r="AA85" s="110">
        <v>2.8</v>
      </c>
      <c r="AB85" s="56">
        <v>2.8</v>
      </c>
      <c r="AC85" s="111">
        <v>2.8</v>
      </c>
      <c r="AD85" s="110">
        <v>2.5</v>
      </c>
      <c r="AE85" s="56">
        <v>2.5</v>
      </c>
      <c r="AF85" s="111">
        <v>2.5</v>
      </c>
      <c r="AG85" s="105">
        <f t="shared" si="245"/>
        <v>2.5</v>
      </c>
      <c r="AH85" s="37">
        <f t="shared" si="246"/>
        <v>2.5</v>
      </c>
      <c r="AI85" s="102">
        <f t="shared" si="247"/>
        <v>2.5</v>
      </c>
      <c r="AJ85" s="38">
        <f t="shared" si="248"/>
        <v>0.59031900000000004</v>
      </c>
      <c r="AK85" s="38">
        <f t="shared" si="249"/>
        <v>0.329681</v>
      </c>
      <c r="AL85" s="38">
        <f t="shared" si="250"/>
        <v>0</v>
      </c>
      <c r="AM85" s="38">
        <f t="shared" si="251"/>
        <v>0</v>
      </c>
      <c r="AN85" s="38">
        <f t="shared" si="252"/>
        <v>1.7492682282608696</v>
      </c>
      <c r="AO85" s="39">
        <f t="shared" si="253"/>
        <v>0.08</v>
      </c>
      <c r="AP85" s="92">
        <f t="shared" si="254"/>
        <v>0.27408695652173909</v>
      </c>
      <c r="AQ85" s="94">
        <f t="shared" si="295"/>
        <v>1.7492682282608696</v>
      </c>
      <c r="AR85" s="1">
        <f t="shared" si="255"/>
        <v>4</v>
      </c>
      <c r="AT85" s="49">
        <v>2900</v>
      </c>
      <c r="AU85" s="29">
        <v>2300</v>
      </c>
      <c r="AV85" s="29">
        <v>4</v>
      </c>
      <c r="AW85" s="48">
        <f t="shared" si="256"/>
        <v>6.67</v>
      </c>
      <c r="AX85" s="29">
        <v>4</v>
      </c>
      <c r="AY85" s="29" t="s">
        <v>93</v>
      </c>
      <c r="AZ85" s="29" t="s">
        <v>81</v>
      </c>
      <c r="BA85" s="50">
        <v>2</v>
      </c>
      <c r="BB85" s="49">
        <v>820</v>
      </c>
      <c r="BC85" s="29">
        <v>2100</v>
      </c>
      <c r="BD85" s="29">
        <v>1</v>
      </c>
      <c r="BE85" s="48">
        <f t="shared" si="257"/>
        <v>1.722</v>
      </c>
      <c r="BF85" s="29">
        <v>4</v>
      </c>
      <c r="BG85" s="29" t="s">
        <v>99</v>
      </c>
      <c r="BH85" s="29" t="s">
        <v>81</v>
      </c>
      <c r="BI85" s="50">
        <v>5</v>
      </c>
      <c r="BJ85" s="49">
        <v>1400</v>
      </c>
      <c r="BK85" s="29">
        <v>1500</v>
      </c>
      <c r="BL85" s="29">
        <v>2</v>
      </c>
      <c r="BM85" s="48">
        <f t="shared" si="258"/>
        <v>2.1</v>
      </c>
      <c r="BN85" s="29">
        <v>4</v>
      </c>
      <c r="BO85" s="29" t="s">
        <v>100</v>
      </c>
      <c r="BP85" s="29" t="s">
        <v>81</v>
      </c>
      <c r="BQ85" s="50">
        <v>4</v>
      </c>
      <c r="BR85" s="49">
        <v>1600</v>
      </c>
      <c r="BS85" s="29">
        <v>2100</v>
      </c>
      <c r="BT85" s="29">
        <v>2</v>
      </c>
      <c r="BU85" s="48">
        <f t="shared" si="259"/>
        <v>3.36</v>
      </c>
      <c r="BV85" s="29">
        <v>4</v>
      </c>
      <c r="BW85" s="29" t="s">
        <v>99</v>
      </c>
      <c r="BX85" s="29" t="s">
        <v>81</v>
      </c>
      <c r="BY85" s="50">
        <v>2</v>
      </c>
      <c r="BZ85" s="49">
        <v>1400</v>
      </c>
      <c r="CA85" s="29">
        <v>1500</v>
      </c>
      <c r="CB85" s="29">
        <f t="shared" si="260"/>
        <v>2.1</v>
      </c>
      <c r="CC85" s="29">
        <v>34</v>
      </c>
      <c r="CD85" s="29">
        <v>29</v>
      </c>
      <c r="CE85" s="29">
        <v>37</v>
      </c>
      <c r="CF85" s="29">
        <v>33</v>
      </c>
      <c r="CG85" s="29">
        <f t="shared" si="261"/>
        <v>43.80952380952381</v>
      </c>
      <c r="CH85" s="50">
        <f t="shared" si="262"/>
        <v>0</v>
      </c>
      <c r="CI85" s="67">
        <f t="shared" si="263"/>
        <v>1150</v>
      </c>
      <c r="CJ85" s="69">
        <f t="shared" si="264"/>
        <v>0.92</v>
      </c>
      <c r="CK85" s="71">
        <f t="shared" si="296"/>
        <v>1</v>
      </c>
      <c r="CL85" s="49">
        <f t="shared" si="265"/>
        <v>4</v>
      </c>
      <c r="CM85" s="29">
        <f t="shared" si="266"/>
        <v>6</v>
      </c>
      <c r="CN85" s="29" t="str">
        <f t="shared" si="267"/>
        <v>C</v>
      </c>
      <c r="CO85" s="50">
        <f t="shared" si="268"/>
        <v>2</v>
      </c>
      <c r="CP85" s="195">
        <f t="shared" si="269"/>
        <v>4</v>
      </c>
      <c r="CQ85" s="29">
        <f t="shared" si="270"/>
        <v>900</v>
      </c>
      <c r="CR85" s="29" t="str">
        <f t="shared" si="271"/>
        <v>C</v>
      </c>
      <c r="CS85" s="194">
        <f t="shared" si="272"/>
        <v>5</v>
      </c>
      <c r="CT85" s="49">
        <f t="shared" si="273"/>
        <v>4</v>
      </c>
      <c r="CU85" s="29">
        <f t="shared" si="274"/>
        <v>1200</v>
      </c>
      <c r="CV85" s="29" t="str">
        <f t="shared" si="275"/>
        <v>C</v>
      </c>
      <c r="CW85" s="50">
        <f t="shared" si="276"/>
        <v>4</v>
      </c>
      <c r="CX85" s="49">
        <f t="shared" si="277"/>
        <v>4</v>
      </c>
      <c r="CY85" s="29">
        <f t="shared" si="278"/>
        <v>900</v>
      </c>
      <c r="CZ85" s="29" t="str">
        <f t="shared" si="279"/>
        <v>C</v>
      </c>
      <c r="DA85" s="50">
        <f t="shared" si="280"/>
        <v>2</v>
      </c>
      <c r="DB85" s="49">
        <f t="shared" si="281"/>
        <v>4</v>
      </c>
      <c r="DC85" s="29" t="str">
        <f t="shared" si="282"/>
        <v>E1200</v>
      </c>
      <c r="DD85" s="29" t="str">
        <f t="shared" si="283"/>
        <v>C</v>
      </c>
      <c r="DE85" s="29">
        <f t="shared" si="284"/>
        <v>5</v>
      </c>
      <c r="DF85" s="29">
        <f t="shared" si="285"/>
        <v>37</v>
      </c>
      <c r="DG85" s="47">
        <f t="shared" si="286"/>
        <v>1.7492682282608696</v>
      </c>
    </row>
    <row r="86" spans="3:111" ht="15" customHeight="1" thickBot="1">
      <c r="C86" s="15" t="s">
        <v>101</v>
      </c>
      <c r="D86" s="11" t="s">
        <v>21</v>
      </c>
      <c r="F86" s="128" t="s">
        <v>49</v>
      </c>
      <c r="G86" s="129">
        <v>1.33</v>
      </c>
      <c r="L86" s="19"/>
      <c r="M86" s="19"/>
      <c r="N86" s="26" t="s">
        <v>102</v>
      </c>
      <c r="O86" s="41">
        <f t="shared" si="287"/>
        <v>1</v>
      </c>
      <c r="P86" s="36">
        <f t="shared" si="288"/>
        <v>0</v>
      </c>
      <c r="Q86" s="36">
        <f t="shared" si="289"/>
        <v>0</v>
      </c>
      <c r="R86" s="37" t="s">
        <v>21</v>
      </c>
      <c r="S86" s="37" t="str">
        <f t="shared" si="290"/>
        <v>BE</v>
      </c>
      <c r="T86" s="37">
        <f t="shared" si="291"/>
        <v>800</v>
      </c>
      <c r="U86" s="37">
        <f t="shared" si="292"/>
        <v>1150</v>
      </c>
      <c r="V86" s="97">
        <f t="shared" si="293"/>
        <v>0.92</v>
      </c>
      <c r="W86" s="37">
        <v>93.5</v>
      </c>
      <c r="X86" s="37">
        <v>143.19999999999999</v>
      </c>
      <c r="Y86" s="37">
        <v>143.19999999999999</v>
      </c>
      <c r="Z86" s="102">
        <f t="shared" si="294"/>
        <v>1.33</v>
      </c>
      <c r="AA86" s="110">
        <v>2.9</v>
      </c>
      <c r="AB86" s="56">
        <v>3</v>
      </c>
      <c r="AC86" s="111">
        <v>3</v>
      </c>
      <c r="AD86" s="110">
        <v>2.5</v>
      </c>
      <c r="AE86" s="56">
        <v>2.6</v>
      </c>
      <c r="AF86" s="111">
        <v>2.6</v>
      </c>
      <c r="AG86" s="105">
        <f t="shared" si="245"/>
        <v>2.5</v>
      </c>
      <c r="AH86" s="37">
        <f t="shared" si="246"/>
        <v>2.6</v>
      </c>
      <c r="AI86" s="102">
        <f t="shared" si="247"/>
        <v>2.6</v>
      </c>
      <c r="AJ86" s="38">
        <f t="shared" si="248"/>
        <v>0.59031900000000004</v>
      </c>
      <c r="AK86" s="38">
        <f t="shared" si="249"/>
        <v>0.329681</v>
      </c>
      <c r="AL86" s="38">
        <f t="shared" si="250"/>
        <v>0</v>
      </c>
      <c r="AM86" s="38">
        <f t="shared" si="251"/>
        <v>0</v>
      </c>
      <c r="AN86" s="38">
        <f t="shared" si="252"/>
        <v>1.7492682282608696</v>
      </c>
      <c r="AO86" s="39">
        <f t="shared" si="253"/>
        <v>0.08</v>
      </c>
      <c r="AP86" s="92">
        <f t="shared" si="254"/>
        <v>0.27408695652173909</v>
      </c>
      <c r="AQ86" s="94">
        <f t="shared" si="295"/>
        <v>1.7492682282608696</v>
      </c>
      <c r="AR86" s="1">
        <f t="shared" si="255"/>
        <v>4</v>
      </c>
      <c r="AT86" s="49"/>
      <c r="AU86" s="29"/>
      <c r="AV86" s="29"/>
      <c r="AW86" s="48">
        <f t="shared" si="256"/>
        <v>0</v>
      </c>
      <c r="AX86" s="29"/>
      <c r="AY86" s="29"/>
      <c r="AZ86" s="29"/>
      <c r="BA86" s="50"/>
      <c r="BB86" s="49">
        <v>2900</v>
      </c>
      <c r="BC86" s="29">
        <v>2300</v>
      </c>
      <c r="BD86" s="29">
        <v>4</v>
      </c>
      <c r="BE86" s="48">
        <f t="shared" si="257"/>
        <v>6.67</v>
      </c>
      <c r="BF86" s="29">
        <v>4</v>
      </c>
      <c r="BG86" s="29" t="s">
        <v>95</v>
      </c>
      <c r="BH86" s="29" t="s">
        <v>81</v>
      </c>
      <c r="BI86" s="50">
        <v>2</v>
      </c>
      <c r="BJ86" s="49">
        <v>820</v>
      </c>
      <c r="BK86" s="29">
        <v>2100</v>
      </c>
      <c r="BL86" s="29">
        <v>1</v>
      </c>
      <c r="BM86" s="48">
        <f t="shared" si="258"/>
        <v>1.722</v>
      </c>
      <c r="BN86" s="29">
        <v>4</v>
      </c>
      <c r="BO86" s="29" t="s">
        <v>80</v>
      </c>
      <c r="BP86" s="29" t="s">
        <v>81</v>
      </c>
      <c r="BQ86" s="50">
        <v>5</v>
      </c>
      <c r="BR86" s="49">
        <v>1600</v>
      </c>
      <c r="BS86" s="29">
        <v>2100</v>
      </c>
      <c r="BT86" s="29">
        <v>2</v>
      </c>
      <c r="BU86" s="48">
        <f t="shared" si="259"/>
        <v>3.36</v>
      </c>
      <c r="BV86" s="29">
        <v>4</v>
      </c>
      <c r="BW86" s="29" t="s">
        <v>103</v>
      </c>
      <c r="BX86" s="29" t="s">
        <v>81</v>
      </c>
      <c r="BY86" s="50">
        <v>3</v>
      </c>
      <c r="BZ86" s="49">
        <v>1400</v>
      </c>
      <c r="CA86" s="29">
        <v>1500</v>
      </c>
      <c r="CB86" s="29">
        <f t="shared" si="260"/>
        <v>2.1</v>
      </c>
      <c r="CC86" s="29">
        <v>33</v>
      </c>
      <c r="CD86" s="29">
        <v>29</v>
      </c>
      <c r="CE86" s="29">
        <v>37</v>
      </c>
      <c r="CF86" s="29">
        <v>33</v>
      </c>
      <c r="CG86" s="29">
        <f t="shared" si="261"/>
        <v>43.80952380952381</v>
      </c>
      <c r="CH86" s="50">
        <f t="shared" si="262"/>
        <v>0</v>
      </c>
      <c r="CI86" s="67">
        <f t="shared" si="263"/>
        <v>1150</v>
      </c>
      <c r="CJ86" s="69">
        <f t="shared" si="264"/>
        <v>0.92</v>
      </c>
      <c r="CK86" s="71">
        <f t="shared" si="296"/>
        <v>1</v>
      </c>
      <c r="CL86" s="49" t="str">
        <f t="shared" si="265"/>
        <v>0</v>
      </c>
      <c r="CM86" s="29">
        <f t="shared" si="266"/>
        <v>0</v>
      </c>
      <c r="CN86" s="29" t="str">
        <f t="shared" si="267"/>
        <v>0</v>
      </c>
      <c r="CO86" s="50" t="str">
        <f t="shared" si="268"/>
        <v>0</v>
      </c>
      <c r="CP86" s="195">
        <f t="shared" si="269"/>
        <v>4</v>
      </c>
      <c r="CQ86" s="29">
        <f t="shared" si="270"/>
        <v>8</v>
      </c>
      <c r="CR86" s="29" t="str">
        <f t="shared" si="271"/>
        <v>C</v>
      </c>
      <c r="CS86" s="194">
        <f t="shared" si="272"/>
        <v>2</v>
      </c>
      <c r="CT86" s="49">
        <f t="shared" si="273"/>
        <v>4</v>
      </c>
      <c r="CU86" s="29">
        <f t="shared" si="274"/>
        <v>1350</v>
      </c>
      <c r="CV86" s="29" t="str">
        <f t="shared" si="275"/>
        <v>C</v>
      </c>
      <c r="CW86" s="50">
        <f t="shared" si="276"/>
        <v>5</v>
      </c>
      <c r="CX86" s="49">
        <f t="shared" si="277"/>
        <v>4</v>
      </c>
      <c r="CY86" s="29">
        <f t="shared" si="278"/>
        <v>1500</v>
      </c>
      <c r="CZ86" s="29" t="str">
        <f t="shared" si="279"/>
        <v>C</v>
      </c>
      <c r="DA86" s="50">
        <f t="shared" si="280"/>
        <v>3</v>
      </c>
      <c r="DB86" s="49">
        <f t="shared" si="281"/>
        <v>4</v>
      </c>
      <c r="DC86" s="29" t="str">
        <f t="shared" si="282"/>
        <v>E1500</v>
      </c>
      <c r="DD86" s="29" t="str">
        <f t="shared" si="283"/>
        <v>C</v>
      </c>
      <c r="DE86" s="29">
        <f t="shared" si="284"/>
        <v>5</v>
      </c>
      <c r="DF86" s="29">
        <f t="shared" si="285"/>
        <v>37</v>
      </c>
      <c r="DG86" s="47">
        <f t="shared" si="286"/>
        <v>1.7492682282608696</v>
      </c>
    </row>
    <row r="87" spans="3:111" ht="15" customHeight="1" thickBot="1">
      <c r="C87" s="16" t="s">
        <v>104</v>
      </c>
      <c r="D87" s="7">
        <v>800</v>
      </c>
      <c r="F87"/>
      <c r="G87"/>
      <c r="H87"/>
      <c r="L87" s="19"/>
      <c r="M87" s="19"/>
      <c r="N87" s="26" t="s">
        <v>105</v>
      </c>
      <c r="O87" s="41">
        <f t="shared" si="287"/>
        <v>1</v>
      </c>
      <c r="P87" s="36">
        <f t="shared" si="288"/>
        <v>0</v>
      </c>
      <c r="Q87" s="36">
        <f t="shared" si="289"/>
        <v>0</v>
      </c>
      <c r="R87" s="37" t="s">
        <v>21</v>
      </c>
      <c r="S87" s="37" t="str">
        <f t="shared" si="290"/>
        <v>BE</v>
      </c>
      <c r="T87" s="37">
        <f t="shared" si="291"/>
        <v>800</v>
      </c>
      <c r="U87" s="37">
        <f t="shared" si="292"/>
        <v>1150</v>
      </c>
      <c r="V87" s="97">
        <f t="shared" si="293"/>
        <v>0.92</v>
      </c>
      <c r="W87" s="60">
        <v>93</v>
      </c>
      <c r="X87" s="60">
        <v>147</v>
      </c>
      <c r="Y87" s="61">
        <v>147</v>
      </c>
      <c r="Z87" s="102">
        <f t="shared" si="294"/>
        <v>1.33</v>
      </c>
      <c r="AA87" s="112">
        <v>2.9</v>
      </c>
      <c r="AB87" s="113">
        <v>3</v>
      </c>
      <c r="AC87" s="114">
        <v>3</v>
      </c>
      <c r="AD87" s="112">
        <v>2.5</v>
      </c>
      <c r="AE87" s="113">
        <v>2.6</v>
      </c>
      <c r="AF87" s="114">
        <v>2.6</v>
      </c>
      <c r="AG87" s="61">
        <f t="shared" si="245"/>
        <v>2.5</v>
      </c>
      <c r="AH87" s="61">
        <f t="shared" si="246"/>
        <v>2.6</v>
      </c>
      <c r="AI87" s="102">
        <f t="shared" si="247"/>
        <v>2.6</v>
      </c>
      <c r="AJ87" s="38">
        <f t="shared" si="248"/>
        <v>0.59189599999999998</v>
      </c>
      <c r="AK87" s="38">
        <f t="shared" si="249"/>
        <v>0.32810400000000001</v>
      </c>
      <c r="AL87" s="38">
        <f t="shared" si="250"/>
        <v>0</v>
      </c>
      <c r="AM87" s="38">
        <f t="shared" si="251"/>
        <v>0</v>
      </c>
      <c r="AN87" s="38">
        <f t="shared" si="252"/>
        <v>1.7472626956521742</v>
      </c>
      <c r="AO87" s="39">
        <f t="shared" si="253"/>
        <v>0.08</v>
      </c>
      <c r="AP87" s="92">
        <f t="shared" si="254"/>
        <v>0.27443478260869564</v>
      </c>
      <c r="AQ87" s="94">
        <f t="shared" si="295"/>
        <v>1.7472626956521742</v>
      </c>
      <c r="AR87" s="1">
        <f t="shared" si="255"/>
        <v>4</v>
      </c>
      <c r="AT87" s="49"/>
      <c r="AU87" s="29"/>
      <c r="AV87" s="29"/>
      <c r="AW87" s="48">
        <f t="shared" si="256"/>
        <v>0</v>
      </c>
      <c r="AX87" s="29"/>
      <c r="AY87" s="29"/>
      <c r="AZ87" s="29"/>
      <c r="BA87" s="50"/>
      <c r="BB87" s="49">
        <v>2900</v>
      </c>
      <c r="BC87" s="29">
        <v>2300</v>
      </c>
      <c r="BD87" s="29">
        <v>4</v>
      </c>
      <c r="BE87" s="48">
        <f t="shared" si="257"/>
        <v>6.67</v>
      </c>
      <c r="BF87" s="29">
        <v>4</v>
      </c>
      <c r="BG87" s="29" t="s">
        <v>95</v>
      </c>
      <c r="BH87" s="29" t="s">
        <v>81</v>
      </c>
      <c r="BI87" s="50">
        <v>2</v>
      </c>
      <c r="BJ87" s="49">
        <v>820</v>
      </c>
      <c r="BK87" s="29">
        <v>2100</v>
      </c>
      <c r="BL87" s="29">
        <v>1</v>
      </c>
      <c r="BM87" s="48">
        <f t="shared" si="258"/>
        <v>1.722</v>
      </c>
      <c r="BN87" s="29">
        <v>4</v>
      </c>
      <c r="BO87" s="29" t="s">
        <v>80</v>
      </c>
      <c r="BP87" s="29" t="s">
        <v>81</v>
      </c>
      <c r="BQ87" s="50">
        <v>5</v>
      </c>
      <c r="BR87" s="49">
        <v>1600</v>
      </c>
      <c r="BS87" s="29">
        <v>2100</v>
      </c>
      <c r="BT87" s="29">
        <v>2</v>
      </c>
      <c r="BU87" s="48">
        <f t="shared" si="259"/>
        <v>3.36</v>
      </c>
      <c r="BV87" s="29">
        <v>4</v>
      </c>
      <c r="BW87" s="29" t="s">
        <v>103</v>
      </c>
      <c r="BX87" s="29" t="s">
        <v>81</v>
      </c>
      <c r="BY87" s="50">
        <v>3</v>
      </c>
      <c r="BZ87" s="49">
        <v>1400</v>
      </c>
      <c r="CA87" s="29">
        <v>1500</v>
      </c>
      <c r="CB87" s="29">
        <f t="shared" si="260"/>
        <v>2.1</v>
      </c>
      <c r="CC87" s="29">
        <v>33</v>
      </c>
      <c r="CD87" s="29">
        <v>29</v>
      </c>
      <c r="CE87" s="29">
        <v>37</v>
      </c>
      <c r="CF87" s="29">
        <v>33</v>
      </c>
      <c r="CG87" s="29">
        <f t="shared" si="261"/>
        <v>43.80952380952381</v>
      </c>
      <c r="CH87" s="50">
        <f t="shared" si="262"/>
        <v>0</v>
      </c>
      <c r="CI87" s="67">
        <f t="shared" si="263"/>
        <v>1150</v>
      </c>
      <c r="CJ87" s="69">
        <f t="shared" si="264"/>
        <v>0.92</v>
      </c>
      <c r="CK87" s="71">
        <f t="shared" si="296"/>
        <v>1</v>
      </c>
      <c r="CL87" s="49" t="str">
        <f t="shared" si="265"/>
        <v>0</v>
      </c>
      <c r="CM87" s="29">
        <f t="shared" si="266"/>
        <v>0</v>
      </c>
      <c r="CN87" s="29" t="str">
        <f t="shared" si="267"/>
        <v>0</v>
      </c>
      <c r="CO87" s="50" t="str">
        <f t="shared" si="268"/>
        <v>0</v>
      </c>
      <c r="CP87" s="195">
        <f t="shared" si="269"/>
        <v>4</v>
      </c>
      <c r="CQ87" s="29">
        <f t="shared" si="270"/>
        <v>8</v>
      </c>
      <c r="CR87" s="29" t="str">
        <f t="shared" si="271"/>
        <v>C</v>
      </c>
      <c r="CS87" s="194">
        <f t="shared" si="272"/>
        <v>2</v>
      </c>
      <c r="CT87" s="49">
        <f t="shared" si="273"/>
        <v>4</v>
      </c>
      <c r="CU87" s="29">
        <f t="shared" si="274"/>
        <v>1350</v>
      </c>
      <c r="CV87" s="29" t="str">
        <f t="shared" si="275"/>
        <v>C</v>
      </c>
      <c r="CW87" s="50">
        <f t="shared" si="276"/>
        <v>5</v>
      </c>
      <c r="CX87" s="49">
        <f t="shared" si="277"/>
        <v>4</v>
      </c>
      <c r="CY87" s="29">
        <f t="shared" si="278"/>
        <v>1500</v>
      </c>
      <c r="CZ87" s="29" t="str">
        <f t="shared" si="279"/>
        <v>C</v>
      </c>
      <c r="DA87" s="50">
        <f t="shared" si="280"/>
        <v>3</v>
      </c>
      <c r="DB87" s="49">
        <f t="shared" si="281"/>
        <v>4</v>
      </c>
      <c r="DC87" s="29" t="str">
        <f t="shared" si="282"/>
        <v>E1500</v>
      </c>
      <c r="DD87" s="29" t="str">
        <f t="shared" si="283"/>
        <v>C</v>
      </c>
      <c r="DE87" s="29">
        <f t="shared" si="284"/>
        <v>5</v>
      </c>
      <c r="DF87" s="29">
        <f t="shared" si="285"/>
        <v>37</v>
      </c>
      <c r="DG87" s="47">
        <f t="shared" si="286"/>
        <v>1.7472626956521742</v>
      </c>
    </row>
    <row r="88" spans="3:111" ht="15" thickBot="1">
      <c r="C88" s="16" t="s">
        <v>106</v>
      </c>
      <c r="D88" s="7">
        <v>1150</v>
      </c>
      <c r="F88" s="143" t="s">
        <v>57</v>
      </c>
      <c r="G88" s="95">
        <f>VLOOKUP(D82,N82:AQ103,30,FALSE)</f>
        <v>1.7492682282608696</v>
      </c>
      <c r="H88"/>
      <c r="L88" s="19"/>
      <c r="M88" s="19"/>
      <c r="N88" s="26" t="s">
        <v>107</v>
      </c>
      <c r="O88" s="41">
        <f t="shared" si="287"/>
        <v>1</v>
      </c>
      <c r="P88" s="36">
        <f t="shared" si="288"/>
        <v>0</v>
      </c>
      <c r="Q88" s="36">
        <f t="shared" si="289"/>
        <v>0</v>
      </c>
      <c r="R88" s="37" t="s">
        <v>21</v>
      </c>
      <c r="S88" s="37" t="str">
        <f t="shared" si="290"/>
        <v>BE</v>
      </c>
      <c r="T88" s="37">
        <f t="shared" si="291"/>
        <v>800</v>
      </c>
      <c r="U88" s="37">
        <f t="shared" si="292"/>
        <v>1150</v>
      </c>
      <c r="V88" s="97">
        <f t="shared" si="293"/>
        <v>0.92</v>
      </c>
      <c r="W88" s="60">
        <v>95.5</v>
      </c>
      <c r="X88" s="60">
        <v>147.19999999999999</v>
      </c>
      <c r="Y88" s="61">
        <v>147.19999999999999</v>
      </c>
      <c r="Z88" s="102">
        <f t="shared" si="294"/>
        <v>1.33</v>
      </c>
      <c r="AA88" s="112">
        <v>1.9</v>
      </c>
      <c r="AB88" s="113">
        <v>1.9</v>
      </c>
      <c r="AC88" s="114">
        <v>1.9</v>
      </c>
      <c r="AD88" s="112">
        <v>1.6</v>
      </c>
      <c r="AE88" s="113">
        <v>1.6</v>
      </c>
      <c r="AF88" s="114">
        <v>1.6</v>
      </c>
      <c r="AG88" s="61">
        <f t="shared" si="245"/>
        <v>1.6</v>
      </c>
      <c r="AH88" s="61">
        <f t="shared" si="246"/>
        <v>1.6</v>
      </c>
      <c r="AI88" s="102">
        <f t="shared" si="247"/>
        <v>1.6</v>
      </c>
      <c r="AJ88" s="38">
        <f t="shared" si="248"/>
        <v>0.58403099999999997</v>
      </c>
      <c r="AK88" s="38">
        <f t="shared" si="249"/>
        <v>0.33596900000000002</v>
      </c>
      <c r="AL88" s="38">
        <f t="shared" si="250"/>
        <v>0</v>
      </c>
      <c r="AM88" s="38">
        <f t="shared" si="251"/>
        <v>0</v>
      </c>
      <c r="AN88" s="38">
        <f t="shared" si="252"/>
        <v>1.4285995978260873</v>
      </c>
      <c r="AO88" s="39">
        <v>3.1E-2</v>
      </c>
      <c r="AP88" s="92">
        <f t="shared" si="254"/>
        <v>0.10566956521739131</v>
      </c>
      <c r="AQ88" s="94">
        <f t="shared" si="295"/>
        <v>1.4285995978260873</v>
      </c>
      <c r="AR88" s="1">
        <f t="shared" si="255"/>
        <v>4</v>
      </c>
      <c r="AT88" s="49"/>
      <c r="AU88" s="29"/>
      <c r="AV88" s="29"/>
      <c r="AW88" s="48">
        <f t="shared" si="256"/>
        <v>0</v>
      </c>
      <c r="AX88" s="29"/>
      <c r="AY88" s="29"/>
      <c r="AZ88" s="29"/>
      <c r="BA88" s="50"/>
      <c r="BB88" s="49">
        <v>2900</v>
      </c>
      <c r="BC88" s="29">
        <v>2300</v>
      </c>
      <c r="BD88" s="29">
        <v>4</v>
      </c>
      <c r="BE88" s="48">
        <f t="shared" si="257"/>
        <v>6.67</v>
      </c>
      <c r="BF88" s="29">
        <v>4</v>
      </c>
      <c r="BG88" s="29" t="s">
        <v>95</v>
      </c>
      <c r="BH88" s="29" t="s">
        <v>81</v>
      </c>
      <c r="BI88" s="50">
        <v>2</v>
      </c>
      <c r="BJ88" s="49">
        <v>820</v>
      </c>
      <c r="BK88" s="29">
        <v>2100</v>
      </c>
      <c r="BL88" s="29">
        <v>1</v>
      </c>
      <c r="BM88" s="48">
        <f t="shared" si="258"/>
        <v>1.722</v>
      </c>
      <c r="BN88" s="29">
        <v>4</v>
      </c>
      <c r="BO88" s="29" t="s">
        <v>80</v>
      </c>
      <c r="BP88" s="29" t="s">
        <v>81</v>
      </c>
      <c r="BQ88" s="50">
        <v>5</v>
      </c>
      <c r="BR88" s="49">
        <v>1600</v>
      </c>
      <c r="BS88" s="29">
        <v>2100</v>
      </c>
      <c r="BT88" s="29">
        <v>2</v>
      </c>
      <c r="BU88" s="48">
        <f t="shared" si="259"/>
        <v>3.36</v>
      </c>
      <c r="BV88" s="29">
        <v>4</v>
      </c>
      <c r="BW88" s="29" t="s">
        <v>103</v>
      </c>
      <c r="BX88" s="29" t="s">
        <v>81</v>
      </c>
      <c r="BY88" s="50">
        <v>3</v>
      </c>
      <c r="BZ88" s="49">
        <v>1400</v>
      </c>
      <c r="CA88" s="29">
        <v>1500</v>
      </c>
      <c r="CB88" s="29">
        <f t="shared" si="260"/>
        <v>2.1</v>
      </c>
      <c r="CC88" s="29">
        <v>33</v>
      </c>
      <c r="CD88" s="29">
        <v>29</v>
      </c>
      <c r="CE88" s="29">
        <v>37</v>
      </c>
      <c r="CF88" s="29">
        <v>33</v>
      </c>
      <c r="CG88" s="29">
        <f t="shared" si="261"/>
        <v>43.80952380952381</v>
      </c>
      <c r="CH88" s="50">
        <f t="shared" si="262"/>
        <v>0</v>
      </c>
      <c r="CI88" s="67">
        <f t="shared" si="263"/>
        <v>1150</v>
      </c>
      <c r="CJ88" s="69">
        <f t="shared" si="264"/>
        <v>0.92</v>
      </c>
      <c r="CK88" s="71">
        <f t="shared" si="296"/>
        <v>1</v>
      </c>
      <c r="CL88" s="49" t="str">
        <f t="shared" si="265"/>
        <v>0</v>
      </c>
      <c r="CM88" s="29">
        <f t="shared" si="266"/>
        <v>0</v>
      </c>
      <c r="CN88" s="29" t="str">
        <f t="shared" si="267"/>
        <v>0</v>
      </c>
      <c r="CO88" s="50" t="str">
        <f t="shared" si="268"/>
        <v>0</v>
      </c>
      <c r="CP88" s="195">
        <f t="shared" si="269"/>
        <v>4</v>
      </c>
      <c r="CQ88" s="29">
        <f t="shared" si="270"/>
        <v>8</v>
      </c>
      <c r="CR88" s="29" t="str">
        <f t="shared" si="271"/>
        <v>C</v>
      </c>
      <c r="CS88" s="194">
        <f t="shared" si="272"/>
        <v>2</v>
      </c>
      <c r="CT88" s="49">
        <f t="shared" si="273"/>
        <v>4</v>
      </c>
      <c r="CU88" s="29">
        <f t="shared" si="274"/>
        <v>1350</v>
      </c>
      <c r="CV88" s="29" t="str">
        <f t="shared" si="275"/>
        <v>C</v>
      </c>
      <c r="CW88" s="50">
        <f t="shared" si="276"/>
        <v>5</v>
      </c>
      <c r="CX88" s="49">
        <f t="shared" si="277"/>
        <v>4</v>
      </c>
      <c r="CY88" s="29">
        <f t="shared" si="278"/>
        <v>1500</v>
      </c>
      <c r="CZ88" s="29" t="str">
        <f t="shared" si="279"/>
        <v>C</v>
      </c>
      <c r="DA88" s="50">
        <f t="shared" si="280"/>
        <v>3</v>
      </c>
      <c r="DB88" s="49">
        <f t="shared" si="281"/>
        <v>4</v>
      </c>
      <c r="DC88" s="29" t="str">
        <f t="shared" si="282"/>
        <v>E1500</v>
      </c>
      <c r="DD88" s="29" t="str">
        <f t="shared" si="283"/>
        <v>C</v>
      </c>
      <c r="DE88" s="29">
        <f t="shared" si="284"/>
        <v>5</v>
      </c>
      <c r="DF88" s="29">
        <f t="shared" si="285"/>
        <v>37</v>
      </c>
      <c r="DG88" s="47">
        <f t="shared" si="286"/>
        <v>1.4285995978260873</v>
      </c>
    </row>
    <row r="89" spans="3:111" ht="15" hidden="1" thickBot="1">
      <c r="C89" s="124"/>
      <c r="D89" s="125"/>
      <c r="F89" s="143" t="s">
        <v>108</v>
      </c>
      <c r="G89" s="145">
        <f>VLOOKUP(D82,N82:AR102,31,FALSE)</f>
        <v>4</v>
      </c>
      <c r="H89"/>
      <c r="L89" s="19"/>
      <c r="M89" s="19"/>
      <c r="N89" s="26" t="s">
        <v>109</v>
      </c>
      <c r="O89" s="41">
        <f t="shared" si="287"/>
        <v>1</v>
      </c>
      <c r="P89" s="36">
        <f t="shared" si="288"/>
        <v>0</v>
      </c>
      <c r="Q89" s="36">
        <f t="shared" si="289"/>
        <v>0</v>
      </c>
      <c r="R89" s="37" t="s">
        <v>21</v>
      </c>
      <c r="S89" s="37" t="str">
        <f>+IF(I$9="N","N","BE")</f>
        <v>BE</v>
      </c>
      <c r="T89" s="37">
        <f t="shared" si="291"/>
        <v>800</v>
      </c>
      <c r="U89" s="37">
        <f t="shared" si="292"/>
        <v>1150</v>
      </c>
      <c r="V89" s="97">
        <f t="shared" si="293"/>
        <v>0.92</v>
      </c>
      <c r="W89" s="60">
        <v>66.3</v>
      </c>
      <c r="X89" s="60">
        <v>79.5</v>
      </c>
      <c r="Y89" s="61">
        <v>79.5</v>
      </c>
      <c r="Z89" s="102">
        <f t="shared" si="294"/>
        <v>1.33</v>
      </c>
      <c r="AA89" s="112">
        <v>3.7</v>
      </c>
      <c r="AB89" s="113">
        <v>3.7</v>
      </c>
      <c r="AC89" s="114">
        <v>3.7</v>
      </c>
      <c r="AD89" s="112">
        <v>3.7</v>
      </c>
      <c r="AE89" s="113">
        <v>3.7</v>
      </c>
      <c r="AF89" s="114">
        <v>3.7</v>
      </c>
      <c r="AG89" s="61">
        <f t="shared" si="245"/>
        <v>3.7</v>
      </c>
      <c r="AH89" s="61">
        <f t="shared" si="246"/>
        <v>3.7</v>
      </c>
      <c r="AI89" s="102">
        <f t="shared" si="247"/>
        <v>3.7</v>
      </c>
      <c r="AJ89" s="38">
        <f>+(T89*U89)/1000000-AK89-AL89-AM89</f>
        <v>0.67901275999999999</v>
      </c>
      <c r="AK89" s="38">
        <f t="shared" si="249"/>
        <v>0.24098723999999999</v>
      </c>
      <c r="AL89" s="38">
        <f t="shared" si="250"/>
        <v>0</v>
      </c>
      <c r="AM89" s="38">
        <f t="shared" si="251"/>
        <v>0</v>
      </c>
      <c r="AN89" s="38">
        <f>+(Z89*AJ89+AG89*AK89+AL89*AH89+AI89*AM89)/(AJ89+AK89+AL89+AM89)</f>
        <v>1.950804085652174</v>
      </c>
      <c r="AO89" s="39">
        <v>0.08</v>
      </c>
      <c r="AP89" s="92">
        <f>+AO89*((T89-2*W89-P89*X89-Q89*Y89)/1000*2+(U89-2*W89)/1000*2*(P89+Q89+1))/(AJ89+AK89+AL89+AM89)</f>
        <v>0.29300869565217397</v>
      </c>
      <c r="AQ89" s="94">
        <f t="shared" si="295"/>
        <v>1.950804085652174</v>
      </c>
      <c r="AR89" s="1">
        <f t="shared" si="255"/>
        <v>4</v>
      </c>
      <c r="AT89" s="49"/>
      <c r="AU89" s="29"/>
      <c r="AV89" s="29"/>
      <c r="AW89" s="48"/>
      <c r="AX89" s="29"/>
      <c r="AY89" s="29"/>
      <c r="AZ89" s="29"/>
      <c r="BA89" s="50"/>
      <c r="BB89" s="49"/>
      <c r="BC89" s="29"/>
      <c r="BD89" s="29"/>
      <c r="BE89" s="48"/>
      <c r="BF89" s="29"/>
      <c r="BG89" s="29"/>
      <c r="BH89" s="29"/>
      <c r="BI89" s="50"/>
      <c r="BJ89" s="49">
        <v>1400</v>
      </c>
      <c r="BK89" s="29">
        <v>1500</v>
      </c>
      <c r="BL89" s="29">
        <v>2</v>
      </c>
      <c r="BM89" s="48">
        <f t="shared" si="258"/>
        <v>2.1</v>
      </c>
      <c r="BN89" s="29">
        <v>4</v>
      </c>
      <c r="BO89" s="29" t="s">
        <v>80</v>
      </c>
      <c r="BP89" s="29" t="s">
        <v>81</v>
      </c>
      <c r="BQ89" s="50">
        <v>4</v>
      </c>
      <c r="BR89" s="49">
        <v>1600</v>
      </c>
      <c r="BS89" s="29">
        <v>2100</v>
      </c>
      <c r="BT89" s="29">
        <v>2</v>
      </c>
      <c r="BU89" s="48">
        <f t="shared" si="259"/>
        <v>3.36</v>
      </c>
      <c r="BV89" s="29">
        <v>4</v>
      </c>
      <c r="BW89" s="29" t="s">
        <v>82</v>
      </c>
      <c r="BX89" s="29" t="s">
        <v>81</v>
      </c>
      <c r="BY89" s="50">
        <v>2</v>
      </c>
      <c r="BZ89" s="49">
        <v>1400</v>
      </c>
      <c r="CA89" s="29">
        <v>1500</v>
      </c>
      <c r="CB89" s="29">
        <f t="shared" si="260"/>
        <v>2.1</v>
      </c>
      <c r="CC89" s="29">
        <v>31</v>
      </c>
      <c r="CD89" s="29">
        <v>29</v>
      </c>
      <c r="CE89" s="29">
        <v>34</v>
      </c>
      <c r="CF89" s="29">
        <v>33</v>
      </c>
      <c r="CG89" s="29">
        <f t="shared" si="261"/>
        <v>43.80952380952381</v>
      </c>
      <c r="CH89" s="50">
        <f t="shared" si="262"/>
        <v>0</v>
      </c>
      <c r="CI89" s="67">
        <f t="shared" si="263"/>
        <v>1150</v>
      </c>
      <c r="CJ89" s="69">
        <f t="shared" si="264"/>
        <v>0.92</v>
      </c>
      <c r="CK89" s="71">
        <f>+$J$19</f>
        <v>1</v>
      </c>
      <c r="CL89" s="49" t="str">
        <f t="shared" si="265"/>
        <v>0</v>
      </c>
      <c r="CM89" s="29">
        <f t="shared" si="266"/>
        <v>0</v>
      </c>
      <c r="CN89" s="29" t="str">
        <f t="shared" si="267"/>
        <v>0</v>
      </c>
      <c r="CO89" s="50" t="str">
        <f t="shared" si="268"/>
        <v>0</v>
      </c>
      <c r="CP89" s="195" t="str">
        <f t="shared" si="269"/>
        <v>0</v>
      </c>
      <c r="CQ89" s="29">
        <f t="shared" si="270"/>
        <v>0</v>
      </c>
      <c r="CR89" s="29" t="str">
        <f t="shared" si="271"/>
        <v>0</v>
      </c>
      <c r="CS89" s="194" t="str">
        <f t="shared" si="272"/>
        <v>0</v>
      </c>
      <c r="CT89" s="49">
        <f t="shared" si="273"/>
        <v>4</v>
      </c>
      <c r="CU89" s="29">
        <f t="shared" si="274"/>
        <v>1350</v>
      </c>
      <c r="CV89" s="29" t="str">
        <f t="shared" si="275"/>
        <v>C</v>
      </c>
      <c r="CW89" s="50">
        <f t="shared" si="276"/>
        <v>4</v>
      </c>
      <c r="CX89" s="49">
        <f t="shared" si="277"/>
        <v>4</v>
      </c>
      <c r="CY89" s="29">
        <f t="shared" si="278"/>
        <v>7</v>
      </c>
      <c r="CZ89" s="29" t="str">
        <f t="shared" si="279"/>
        <v>C</v>
      </c>
      <c r="DA89" s="50">
        <f t="shared" si="280"/>
        <v>2</v>
      </c>
      <c r="DB89" s="49">
        <f t="shared" si="281"/>
        <v>4</v>
      </c>
      <c r="DC89" s="29" t="str">
        <f t="shared" si="282"/>
        <v>E1350</v>
      </c>
      <c r="DD89" s="29" t="str">
        <f t="shared" si="283"/>
        <v>C</v>
      </c>
      <c r="DE89" s="29">
        <f t="shared" si="284"/>
        <v>4</v>
      </c>
      <c r="DF89" s="29">
        <f t="shared" si="285"/>
        <v>34</v>
      </c>
      <c r="DG89" s="47">
        <f t="shared" si="286"/>
        <v>1.950804085652174</v>
      </c>
    </row>
    <row r="90" spans="3:111" hidden="1">
      <c r="C90" s="124"/>
      <c r="D90" s="125"/>
      <c r="F90" s="146" t="s">
        <v>110</v>
      </c>
      <c r="G90" s="147" t="str">
        <f>+IF(G88&lt;1.5,"A",IF(G88&lt;2,"B",IF(G88&lt;2.5,"C",IF(G88&lt;2.7,"D",IF(G88&lt;3,"E",IF(G88&lt;3.5,"F","G"))))))</f>
        <v>B</v>
      </c>
      <c r="H90"/>
      <c r="L90" s="19"/>
      <c r="M90" s="19"/>
      <c r="N90" s="26"/>
      <c r="O90" s="41"/>
      <c r="P90" s="36"/>
      <c r="Q90" s="36"/>
      <c r="R90" s="37"/>
      <c r="S90" s="37"/>
      <c r="T90" s="37"/>
      <c r="U90" s="37"/>
      <c r="V90" s="97"/>
      <c r="W90" s="60"/>
      <c r="X90" s="60"/>
      <c r="Y90" s="61"/>
      <c r="Z90" s="102"/>
      <c r="AA90" s="112"/>
      <c r="AB90" s="113"/>
      <c r="AC90" s="114"/>
      <c r="AD90" s="112"/>
      <c r="AE90" s="113"/>
      <c r="AF90" s="114"/>
      <c r="AG90" s="61"/>
      <c r="AH90" s="61"/>
      <c r="AI90" s="102"/>
      <c r="AJ90" s="38"/>
      <c r="AK90" s="38"/>
      <c r="AL90" s="38"/>
      <c r="AM90" s="38"/>
      <c r="AN90" s="38"/>
      <c r="AO90" s="39"/>
      <c r="AP90" s="92"/>
      <c r="AQ90" s="94"/>
      <c r="AR90" s="1">
        <f t="shared" si="255"/>
        <v>0</v>
      </c>
      <c r="AT90" s="49"/>
      <c r="AU90" s="29"/>
      <c r="AV90" s="29"/>
      <c r="AW90" s="48"/>
      <c r="AX90" s="29"/>
      <c r="AY90" s="29"/>
      <c r="AZ90" s="29"/>
      <c r="BA90" s="50"/>
      <c r="BB90" s="49"/>
      <c r="BC90" s="29"/>
      <c r="BD90" s="29"/>
      <c r="BE90" s="48"/>
      <c r="BF90" s="29"/>
      <c r="BG90" s="29"/>
      <c r="BH90" s="29"/>
      <c r="BI90" s="50"/>
      <c r="BJ90" s="49"/>
      <c r="BK90" s="29"/>
      <c r="BL90" s="29"/>
      <c r="BM90" s="48"/>
      <c r="BN90" s="29"/>
      <c r="BO90" s="29"/>
      <c r="BP90" s="29"/>
      <c r="BQ90" s="50"/>
      <c r="BR90" s="49"/>
      <c r="BS90" s="29"/>
      <c r="BT90" s="29"/>
      <c r="BU90" s="48"/>
      <c r="BV90" s="29"/>
      <c r="BW90" s="29"/>
      <c r="BX90" s="29"/>
      <c r="BY90" s="50"/>
      <c r="BZ90" s="49"/>
      <c r="CA90" s="29"/>
      <c r="CB90" s="29"/>
      <c r="CC90" s="29"/>
      <c r="CD90" s="29"/>
      <c r="CE90" s="29"/>
      <c r="CF90" s="29"/>
      <c r="CG90" s="29"/>
      <c r="CH90" s="50"/>
      <c r="CI90" s="67"/>
      <c r="CJ90" s="69"/>
      <c r="CK90" s="71"/>
      <c r="CL90" s="49"/>
      <c r="CM90" s="29"/>
      <c r="CN90" s="29"/>
      <c r="CO90" s="50"/>
      <c r="CP90" s="195"/>
      <c r="CQ90" s="29"/>
      <c r="CR90" s="29"/>
      <c r="CS90" s="194"/>
      <c r="CT90" s="49"/>
      <c r="CU90" s="29"/>
      <c r="CV90" s="29"/>
      <c r="CW90" s="50"/>
      <c r="CX90" s="49"/>
      <c r="CY90" s="29"/>
      <c r="CZ90" s="29"/>
      <c r="DA90" s="50"/>
      <c r="DB90" s="49"/>
      <c r="DC90" s="29"/>
      <c r="DD90" s="29"/>
      <c r="DE90" s="29"/>
      <c r="DF90" s="29"/>
      <c r="DG90" s="47"/>
    </row>
    <row r="91" spans="3:111" ht="15" hidden="1" thickBot="1">
      <c r="C91" s="124"/>
      <c r="D91" s="125"/>
      <c r="F91" s="148" t="s">
        <v>111</v>
      </c>
      <c r="G91" s="149" t="str">
        <f>+IF(G84="","NPD",IF(G84&lt;=0.4,"***",IF(G84&lt;=0.6,"**","*")))</f>
        <v>**</v>
      </c>
      <c r="H91"/>
      <c r="L91" s="19"/>
      <c r="M91" s="19"/>
      <c r="N91" s="26" t="s">
        <v>76</v>
      </c>
      <c r="O91" s="41">
        <f t="shared" si="287"/>
        <v>1</v>
      </c>
      <c r="P91" s="36">
        <f t="shared" si="288"/>
        <v>0</v>
      </c>
      <c r="Q91" s="36">
        <f t="shared" si="289"/>
        <v>0</v>
      </c>
      <c r="R91" s="37" t="s">
        <v>21</v>
      </c>
      <c r="S91" s="37" t="str">
        <f t="shared" ref="S91:S103" si="297">+IF(I$9="N","N","BE")</f>
        <v>BE</v>
      </c>
      <c r="T91" s="37">
        <f t="shared" si="291"/>
        <v>800</v>
      </c>
      <c r="U91" s="37">
        <f t="shared" si="292"/>
        <v>1150</v>
      </c>
      <c r="V91" s="97">
        <f t="shared" si="293"/>
        <v>0.92</v>
      </c>
      <c r="W91" s="60">
        <v>66.3</v>
      </c>
      <c r="X91" s="60">
        <v>79.5</v>
      </c>
      <c r="Y91" s="61">
        <v>79.5</v>
      </c>
      <c r="Z91" s="102">
        <f t="shared" si="294"/>
        <v>1.33</v>
      </c>
      <c r="AA91" s="112">
        <v>2.2000000000000002</v>
      </c>
      <c r="AB91" s="113">
        <v>2.2000000000000002</v>
      </c>
      <c r="AC91" s="114">
        <v>2.2000000000000002</v>
      </c>
      <c r="AD91" s="112">
        <v>2</v>
      </c>
      <c r="AE91" s="113">
        <v>2</v>
      </c>
      <c r="AF91" s="114">
        <v>2</v>
      </c>
      <c r="AG91" s="61">
        <f t="shared" si="245"/>
        <v>2</v>
      </c>
      <c r="AH91" s="61">
        <f t="shared" si="246"/>
        <v>2</v>
      </c>
      <c r="AI91" s="102">
        <f t="shared" si="247"/>
        <v>2</v>
      </c>
      <c r="AJ91" s="38">
        <f t="shared" ref="AJ91:AJ103" si="298">+(T91*U91)/1000000-AK91-AL91-AM91</f>
        <v>0.67901275999999999</v>
      </c>
      <c r="AK91" s="38">
        <f t="shared" ref="AK91:AK103" si="299">+(T91*U91-(T91-2*W91)*(U91-2*W91))/1000000</f>
        <v>0.24098723999999999</v>
      </c>
      <c r="AL91" s="38">
        <f t="shared" ref="AL91:AL103" si="300">+(U91-2*W91)/1000000*X91*P91</f>
        <v>0</v>
      </c>
      <c r="AM91" s="38">
        <f t="shared" ref="AM91:AM103" si="301">+(U91-2*W91)/1000000*Y91*Q91</f>
        <v>0</v>
      </c>
      <c r="AN91" s="38">
        <f t="shared" ref="AN91:AN103" si="302">+(Z91*AJ91+AG91*AK91+AL91*AH91+AI91*AM91)/(AJ91+AK91+AL91+AM91)</f>
        <v>1.5055015769565216</v>
      </c>
      <c r="AO91" s="39">
        <f t="shared" ref="AO91:AO100" si="303">+IF(R91="NO",0,IF(S91="BE",0.08,0.06))</f>
        <v>0.08</v>
      </c>
      <c r="AP91" s="92">
        <f t="shared" ref="AP91:AP103" si="304">+AO91*((T91-2*W91-P91*X91-Q91*Y91)/1000*2+(U91-2*W91)/1000*2*(P91+Q91+1))/(AJ91+AK91+AL91+AM91)</f>
        <v>0.29300869565217397</v>
      </c>
      <c r="AQ91" s="94">
        <f>+AN91</f>
        <v>1.5055015769565216</v>
      </c>
      <c r="AR91" s="1">
        <f t="shared" si="255"/>
        <v>4</v>
      </c>
      <c r="AT91" s="49"/>
      <c r="AU91" s="29"/>
      <c r="AV91" s="29"/>
      <c r="AW91" s="48"/>
      <c r="AX91" s="29"/>
      <c r="AY91" s="29"/>
      <c r="AZ91" s="29"/>
      <c r="BA91" s="50"/>
      <c r="BB91" s="49"/>
      <c r="BC91" s="29"/>
      <c r="BD91" s="29"/>
      <c r="BE91" s="48"/>
      <c r="BF91" s="29"/>
      <c r="BG91" s="29"/>
      <c r="BH91" s="29"/>
      <c r="BI91" s="50"/>
      <c r="BJ91" s="49"/>
      <c r="BK91" s="29"/>
      <c r="BL91" s="29"/>
      <c r="BM91" s="48"/>
      <c r="BN91" s="29"/>
      <c r="BO91" s="29"/>
      <c r="BP91" s="29"/>
      <c r="BQ91" s="50"/>
      <c r="BR91" s="49">
        <v>950</v>
      </c>
      <c r="BS91" s="29">
        <v>1480</v>
      </c>
      <c r="BT91" s="29">
        <v>1</v>
      </c>
      <c r="BU91" s="48">
        <f t="shared" si="259"/>
        <v>1.4059999999999999</v>
      </c>
      <c r="BV91" s="29">
        <v>4</v>
      </c>
      <c r="BW91" s="29" t="s">
        <v>103</v>
      </c>
      <c r="BX91" s="29" t="s">
        <v>81</v>
      </c>
      <c r="BY91" s="50">
        <v>5</v>
      </c>
      <c r="BZ91" s="49">
        <v>1230</v>
      </c>
      <c r="CA91" s="29">
        <v>1480</v>
      </c>
      <c r="CB91" s="29">
        <f t="shared" si="260"/>
        <v>1.8204</v>
      </c>
      <c r="CC91" s="29">
        <v>32</v>
      </c>
      <c r="CD91" s="29">
        <v>29</v>
      </c>
      <c r="CE91" s="29">
        <v>35</v>
      </c>
      <c r="CF91" s="29">
        <v>33</v>
      </c>
      <c r="CG91" s="29">
        <f t="shared" si="261"/>
        <v>50.538343221270054</v>
      </c>
      <c r="CH91" s="50">
        <f t="shared" si="262"/>
        <v>0</v>
      </c>
      <c r="CI91" s="67">
        <f t="shared" si="263"/>
        <v>1150</v>
      </c>
      <c r="CJ91" s="69">
        <f t="shared" si="264"/>
        <v>0.92</v>
      </c>
      <c r="CK91" s="71">
        <v>3</v>
      </c>
      <c r="CL91" s="49" t="str">
        <f t="shared" si="265"/>
        <v>0</v>
      </c>
      <c r="CM91" s="29">
        <f t="shared" si="266"/>
        <v>0</v>
      </c>
      <c r="CN91" s="29" t="str">
        <f t="shared" si="267"/>
        <v>0</v>
      </c>
      <c r="CO91" s="50" t="str">
        <f t="shared" si="268"/>
        <v>0</v>
      </c>
      <c r="CP91" s="195" t="str">
        <f t="shared" si="269"/>
        <v>0</v>
      </c>
      <c r="CQ91" s="29">
        <f t="shared" si="270"/>
        <v>0</v>
      </c>
      <c r="CR91" s="29" t="str">
        <f t="shared" si="271"/>
        <v>0</v>
      </c>
      <c r="CS91" s="194" t="str">
        <f t="shared" si="272"/>
        <v>0</v>
      </c>
      <c r="CT91" s="49" t="str">
        <f t="shared" si="273"/>
        <v>0</v>
      </c>
      <c r="CU91" s="29">
        <f t="shared" si="274"/>
        <v>0</v>
      </c>
      <c r="CV91" s="29" t="str">
        <f t="shared" si="275"/>
        <v>0</v>
      </c>
      <c r="CW91" s="50" t="str">
        <f t="shared" si="276"/>
        <v>0</v>
      </c>
      <c r="CX91" s="49" t="str">
        <f t="shared" si="277"/>
        <v>0</v>
      </c>
      <c r="CY91" s="29">
        <f t="shared" si="278"/>
        <v>0</v>
      </c>
      <c r="CZ91" s="29" t="str">
        <f t="shared" si="279"/>
        <v>0</v>
      </c>
      <c r="DA91" s="50" t="str">
        <f t="shared" si="280"/>
        <v>0</v>
      </c>
      <c r="DB91" s="49">
        <v>4</v>
      </c>
      <c r="DC91" s="29" t="s">
        <v>99</v>
      </c>
      <c r="DD91" s="29" t="s">
        <v>81</v>
      </c>
      <c r="DE91" s="29" t="str">
        <f t="shared" si="284"/>
        <v>1</v>
      </c>
      <c r="DF91" s="29">
        <f t="shared" si="285"/>
        <v>35</v>
      </c>
      <c r="DG91" s="47">
        <f t="shared" si="286"/>
        <v>1.5055015769565216</v>
      </c>
    </row>
    <row r="92" spans="3:111" ht="15" hidden="1" thickBot="1">
      <c r="D92" s="20"/>
      <c r="F92" s="82" t="s">
        <v>113</v>
      </c>
      <c r="G92" s="83">
        <f>+VLOOKUP(D82,N82:DG103,96,FALSE)</f>
        <v>5</v>
      </c>
      <c r="H92" s="197" t="s">
        <v>39</v>
      </c>
      <c r="I92" s="196" t="s">
        <v>40</v>
      </c>
      <c r="J92" s="1" t="s">
        <v>114</v>
      </c>
      <c r="L92" s="19"/>
      <c r="M92" s="19"/>
      <c r="N92" s="26" t="s">
        <v>112</v>
      </c>
      <c r="O92" s="41">
        <f t="shared" si="287"/>
        <v>1</v>
      </c>
      <c r="P92" s="36">
        <f t="shared" si="288"/>
        <v>0</v>
      </c>
      <c r="Q92" s="36">
        <f t="shared" si="289"/>
        <v>0</v>
      </c>
      <c r="R92" s="37" t="s">
        <v>21</v>
      </c>
      <c r="S92" s="37" t="str">
        <f t="shared" si="297"/>
        <v>BE</v>
      </c>
      <c r="T92" s="37">
        <f t="shared" si="291"/>
        <v>800</v>
      </c>
      <c r="U92" s="37">
        <f t="shared" si="292"/>
        <v>1150</v>
      </c>
      <c r="V92" s="97">
        <f t="shared" si="293"/>
        <v>0.92</v>
      </c>
      <c r="W92" s="60">
        <v>94.5</v>
      </c>
      <c r="X92" s="60">
        <v>143.1</v>
      </c>
      <c r="Y92" s="61">
        <v>143.1</v>
      </c>
      <c r="Z92" s="102">
        <f t="shared" si="294"/>
        <v>1.33</v>
      </c>
      <c r="AA92" s="112">
        <v>3.5</v>
      </c>
      <c r="AB92" s="113">
        <v>3.5</v>
      </c>
      <c r="AC92" s="114">
        <v>3.5</v>
      </c>
      <c r="AD92" s="112">
        <v>3.2</v>
      </c>
      <c r="AE92" s="113">
        <v>3.2</v>
      </c>
      <c r="AF92" s="114">
        <v>3.3</v>
      </c>
      <c r="AG92" s="61">
        <f t="shared" si="245"/>
        <v>3.2</v>
      </c>
      <c r="AH92" s="61">
        <f t="shared" si="246"/>
        <v>3.2</v>
      </c>
      <c r="AI92" s="102">
        <f t="shared" si="247"/>
        <v>3.3</v>
      </c>
      <c r="AJ92" s="38">
        <f t="shared" si="298"/>
        <v>0.58717100000000011</v>
      </c>
      <c r="AK92" s="38">
        <f t="shared" si="299"/>
        <v>0.33282899999999999</v>
      </c>
      <c r="AL92" s="38">
        <f t="shared" si="300"/>
        <v>0</v>
      </c>
      <c r="AM92" s="38">
        <f t="shared" si="301"/>
        <v>0</v>
      </c>
      <c r="AN92" s="38">
        <f t="shared" si="302"/>
        <v>2.006511119565217</v>
      </c>
      <c r="AO92" s="39">
        <f t="shared" si="303"/>
        <v>0.08</v>
      </c>
      <c r="AP92" s="92">
        <f t="shared" si="304"/>
        <v>0.27339130434782605</v>
      </c>
      <c r="AQ92" s="94">
        <f t="shared" si="295"/>
        <v>2.006511119565217</v>
      </c>
      <c r="AR92" s="1">
        <f t="shared" si="255"/>
        <v>4</v>
      </c>
      <c r="AT92" s="49"/>
      <c r="AU92" s="29"/>
      <c r="AV92" s="29"/>
      <c r="AW92" s="48"/>
      <c r="AX92" s="29"/>
      <c r="AY92" s="29"/>
      <c r="AZ92" s="29"/>
      <c r="BA92" s="50"/>
      <c r="BB92" s="49"/>
      <c r="BC92" s="29"/>
      <c r="BD92" s="29"/>
      <c r="BE92" s="48"/>
      <c r="BF92" s="29"/>
      <c r="BG92" s="29"/>
      <c r="BH92" s="29"/>
      <c r="BI92" s="50"/>
      <c r="BJ92" s="49"/>
      <c r="BK92" s="29"/>
      <c r="BL92" s="29"/>
      <c r="BM92" s="48"/>
      <c r="BN92" s="29"/>
      <c r="BO92" s="29"/>
      <c r="BP92" s="29"/>
      <c r="BQ92" s="50"/>
      <c r="BR92" s="49">
        <v>950</v>
      </c>
      <c r="BS92" s="29">
        <v>1480</v>
      </c>
      <c r="BT92" s="29">
        <v>1</v>
      </c>
      <c r="BU92" s="48">
        <f t="shared" si="259"/>
        <v>1.4059999999999999</v>
      </c>
      <c r="BV92" s="29">
        <v>4</v>
      </c>
      <c r="BW92" s="29" t="s">
        <v>103</v>
      </c>
      <c r="BX92" s="29" t="s">
        <v>81</v>
      </c>
      <c r="BY92" s="50">
        <v>5</v>
      </c>
      <c r="BZ92" s="49">
        <v>1230</v>
      </c>
      <c r="CA92" s="29">
        <v>1480</v>
      </c>
      <c r="CB92" s="29">
        <f t="shared" si="260"/>
        <v>1.8204</v>
      </c>
      <c r="CC92" s="29">
        <v>32</v>
      </c>
      <c r="CD92" s="29">
        <v>29</v>
      </c>
      <c r="CE92" s="29">
        <v>46</v>
      </c>
      <c r="CF92" s="29">
        <v>40</v>
      </c>
      <c r="CG92" s="29">
        <f t="shared" si="261"/>
        <v>50.538343221270054</v>
      </c>
      <c r="CH92" s="50">
        <f t="shared" si="262"/>
        <v>0</v>
      </c>
      <c r="CI92" s="67">
        <f t="shared" ref="CI92:CI100" si="305">+U92</f>
        <v>1150</v>
      </c>
      <c r="CJ92" s="69">
        <f t="shared" ref="CJ92:CJ100" si="306">+V92</f>
        <v>0.92</v>
      </c>
      <c r="CK92" s="71">
        <v>3</v>
      </c>
      <c r="CL92" s="49" t="str">
        <f t="shared" si="265"/>
        <v>0</v>
      </c>
      <c r="CM92" s="29">
        <f t="shared" si="266"/>
        <v>0</v>
      </c>
      <c r="CN92" s="29" t="str">
        <f t="shared" si="267"/>
        <v>0</v>
      </c>
      <c r="CO92" s="50" t="str">
        <f t="shared" si="268"/>
        <v>0</v>
      </c>
      <c r="CP92" s="195" t="str">
        <f t="shared" si="269"/>
        <v>0</v>
      </c>
      <c r="CQ92" s="29">
        <f t="shared" si="270"/>
        <v>0</v>
      </c>
      <c r="CR92" s="29" t="str">
        <f t="shared" si="271"/>
        <v>0</v>
      </c>
      <c r="CS92" s="194" t="str">
        <f t="shared" si="272"/>
        <v>0</v>
      </c>
      <c r="CT92" s="49" t="str">
        <f t="shared" si="273"/>
        <v>0</v>
      </c>
      <c r="CU92" s="29">
        <f t="shared" si="274"/>
        <v>0</v>
      </c>
      <c r="CV92" s="29" t="str">
        <f t="shared" si="275"/>
        <v>0</v>
      </c>
      <c r="CW92" s="50" t="str">
        <f t="shared" si="276"/>
        <v>0</v>
      </c>
      <c r="CX92" s="49" t="str">
        <f t="shared" si="277"/>
        <v>0</v>
      </c>
      <c r="CY92" s="29">
        <f t="shared" si="278"/>
        <v>0</v>
      </c>
      <c r="CZ92" s="29" t="str">
        <f t="shared" si="279"/>
        <v>0</v>
      </c>
      <c r="DA92" s="50" t="str">
        <f t="shared" si="280"/>
        <v>0</v>
      </c>
      <c r="DB92" s="49">
        <v>4</v>
      </c>
      <c r="DC92" s="29" t="s">
        <v>99</v>
      </c>
      <c r="DD92" s="29" t="s">
        <v>81</v>
      </c>
      <c r="DE92" s="29" t="str">
        <f t="shared" si="284"/>
        <v>1</v>
      </c>
      <c r="DF92" s="29">
        <f t="shared" si="285"/>
        <v>32</v>
      </c>
      <c r="DG92" s="47">
        <f t="shared" si="286"/>
        <v>2.006511119565217</v>
      </c>
    </row>
    <row r="93" spans="3:111" ht="15" hidden="1" thickBot="1">
      <c r="C93" s="203" t="s">
        <v>145</v>
      </c>
      <c r="D93" s="204"/>
      <c r="F93" s="84" t="s">
        <v>113</v>
      </c>
      <c r="G93" s="85" t="str">
        <f>+VLOOKUP(D82,N82:DG103,95,FALSE)</f>
        <v>C</v>
      </c>
      <c r="H93" s="59">
        <f>+VLOOKUP(D84,J$5:M$10,3,FALSE)</f>
        <v>0</v>
      </c>
      <c r="I93" s="23">
        <f>+VLOOKUP(D84,J$5:M$10,4,FALSE)</f>
        <v>0</v>
      </c>
      <c r="J93" s="62">
        <f>+H93+I93+1</f>
        <v>1</v>
      </c>
      <c r="K93"/>
      <c r="L93" s="19"/>
      <c r="M93" s="19"/>
      <c r="N93" s="26" t="s">
        <v>115</v>
      </c>
      <c r="O93" s="41">
        <f t="shared" si="287"/>
        <v>1</v>
      </c>
      <c r="P93" s="36">
        <f t="shared" si="288"/>
        <v>0</v>
      </c>
      <c r="Q93" s="36">
        <f t="shared" si="289"/>
        <v>0</v>
      </c>
      <c r="R93" s="37" t="s">
        <v>21</v>
      </c>
      <c r="S93" s="37" t="str">
        <f t="shared" si="297"/>
        <v>BE</v>
      </c>
      <c r="T93" s="37">
        <f t="shared" si="291"/>
        <v>800</v>
      </c>
      <c r="U93" s="37">
        <f t="shared" si="292"/>
        <v>1150</v>
      </c>
      <c r="V93" s="97">
        <f t="shared" si="293"/>
        <v>0.92</v>
      </c>
      <c r="W93" s="60">
        <v>94.5</v>
      </c>
      <c r="X93" s="60">
        <v>143.1</v>
      </c>
      <c r="Y93" s="61">
        <v>143.1</v>
      </c>
      <c r="Z93" s="102">
        <f t="shared" si="294"/>
        <v>1.33</v>
      </c>
      <c r="AA93" s="112">
        <v>2.9</v>
      </c>
      <c r="AB93" s="113">
        <v>2.9</v>
      </c>
      <c r="AC93" s="114">
        <v>2.9</v>
      </c>
      <c r="AD93" s="112">
        <v>2.9</v>
      </c>
      <c r="AE93" s="113">
        <v>2.9</v>
      </c>
      <c r="AF93" s="114">
        <v>2.9</v>
      </c>
      <c r="AG93" s="61">
        <f t="shared" si="245"/>
        <v>2.9</v>
      </c>
      <c r="AH93" s="61">
        <f t="shared" si="246"/>
        <v>2.9</v>
      </c>
      <c r="AI93" s="102">
        <f t="shared" si="247"/>
        <v>2.9</v>
      </c>
      <c r="AJ93" s="38">
        <f t="shared" si="298"/>
        <v>0.58717100000000011</v>
      </c>
      <c r="AK93" s="38">
        <f t="shared" si="299"/>
        <v>0.33282899999999999</v>
      </c>
      <c r="AL93" s="38">
        <f t="shared" si="300"/>
        <v>0</v>
      </c>
      <c r="AM93" s="38">
        <f t="shared" si="301"/>
        <v>0</v>
      </c>
      <c r="AN93" s="38">
        <f t="shared" si="302"/>
        <v>1.8979799239130433</v>
      </c>
      <c r="AO93" s="39">
        <f t="shared" si="303"/>
        <v>0.08</v>
      </c>
      <c r="AP93" s="92">
        <f t="shared" si="304"/>
        <v>0.27339130434782605</v>
      </c>
      <c r="AQ93" s="94">
        <f t="shared" si="295"/>
        <v>1.8979799239130433</v>
      </c>
      <c r="AR93" s="1">
        <f t="shared" si="255"/>
        <v>4</v>
      </c>
      <c r="AT93" s="49"/>
      <c r="AU93" s="29"/>
      <c r="AV93" s="29"/>
      <c r="AW93" s="48">
        <f t="shared" ref="AW93:AW100" si="307">+AT93*AU93/1000000</f>
        <v>0</v>
      </c>
      <c r="AX93" s="29"/>
      <c r="AY93" s="29"/>
      <c r="AZ93" s="29"/>
      <c r="BA93" s="50"/>
      <c r="BB93" s="49">
        <v>1340</v>
      </c>
      <c r="BC93" s="29">
        <v>1690</v>
      </c>
      <c r="BD93" s="29">
        <v>3</v>
      </c>
      <c r="BE93" s="48">
        <f t="shared" ref="BE93:BE100" si="308">+BB93*BC93/1000000</f>
        <v>2.2646000000000002</v>
      </c>
      <c r="BF93" s="29">
        <v>4</v>
      </c>
      <c r="BG93" s="29" t="s">
        <v>88</v>
      </c>
      <c r="BH93" s="29" t="s">
        <v>81</v>
      </c>
      <c r="BI93" s="50">
        <v>3</v>
      </c>
      <c r="BJ93" s="49">
        <v>1800</v>
      </c>
      <c r="BK93" s="29">
        <v>2200</v>
      </c>
      <c r="BL93" s="29">
        <v>3</v>
      </c>
      <c r="BM93" s="48">
        <f t="shared" ref="BM93:BM100" si="309">+BJ93*BK93/1000000</f>
        <v>3.96</v>
      </c>
      <c r="BN93" s="29">
        <v>4</v>
      </c>
      <c r="BO93" s="29" t="s">
        <v>95</v>
      </c>
      <c r="BP93" s="29" t="s">
        <v>81</v>
      </c>
      <c r="BQ93" s="50">
        <v>2</v>
      </c>
      <c r="BR93" s="49">
        <v>1880</v>
      </c>
      <c r="BS93" s="29">
        <v>2390</v>
      </c>
      <c r="BT93" s="29">
        <v>3</v>
      </c>
      <c r="BU93" s="48">
        <f t="shared" si="259"/>
        <v>4.4931999999999999</v>
      </c>
      <c r="BV93" s="29">
        <v>4</v>
      </c>
      <c r="BW93" s="29" t="s">
        <v>88</v>
      </c>
      <c r="BX93" s="29" t="s">
        <v>81</v>
      </c>
      <c r="BY93" s="50">
        <v>2</v>
      </c>
      <c r="BZ93" s="49">
        <v>1230</v>
      </c>
      <c r="CA93" s="29">
        <v>1480</v>
      </c>
      <c r="CB93" s="29">
        <f t="shared" si="260"/>
        <v>1.8204</v>
      </c>
      <c r="CC93" s="29">
        <v>32</v>
      </c>
      <c r="CD93" s="29">
        <v>29</v>
      </c>
      <c r="CE93" s="29">
        <v>36</v>
      </c>
      <c r="CF93" s="29">
        <v>36</v>
      </c>
      <c r="CG93" s="29">
        <f t="shared" si="261"/>
        <v>50.538343221270054</v>
      </c>
      <c r="CH93" s="50">
        <f t="shared" si="262"/>
        <v>0</v>
      </c>
      <c r="CI93" s="67">
        <f t="shared" si="305"/>
        <v>1150</v>
      </c>
      <c r="CJ93" s="69">
        <f t="shared" si="306"/>
        <v>0.92</v>
      </c>
      <c r="CK93" s="71">
        <f t="shared" si="296"/>
        <v>1</v>
      </c>
      <c r="CL93" s="49" t="str">
        <f t="shared" si="265"/>
        <v>0</v>
      </c>
      <c r="CM93" s="29">
        <f t="shared" si="266"/>
        <v>0</v>
      </c>
      <c r="CN93" s="29" t="str">
        <f t="shared" si="267"/>
        <v>0</v>
      </c>
      <c r="CO93" s="50" t="str">
        <f t="shared" si="268"/>
        <v>0</v>
      </c>
      <c r="CP93" s="195">
        <f t="shared" si="269"/>
        <v>4</v>
      </c>
      <c r="CQ93" s="29">
        <f t="shared" si="270"/>
        <v>9</v>
      </c>
      <c r="CR93" s="29" t="str">
        <f t="shared" si="271"/>
        <v>C</v>
      </c>
      <c r="CS93" s="194">
        <f t="shared" si="272"/>
        <v>3</v>
      </c>
      <c r="CT93" s="49">
        <f t="shared" si="273"/>
        <v>4</v>
      </c>
      <c r="CU93" s="29">
        <f t="shared" si="274"/>
        <v>8</v>
      </c>
      <c r="CV93" s="29" t="str">
        <f t="shared" si="275"/>
        <v>C</v>
      </c>
      <c r="CW93" s="50">
        <f t="shared" si="276"/>
        <v>2</v>
      </c>
      <c r="CX93" s="49">
        <f t="shared" si="277"/>
        <v>4</v>
      </c>
      <c r="CY93" s="29">
        <f t="shared" si="278"/>
        <v>9</v>
      </c>
      <c r="CZ93" s="29" t="str">
        <f t="shared" si="279"/>
        <v>C</v>
      </c>
      <c r="DA93" s="50">
        <f t="shared" si="280"/>
        <v>2</v>
      </c>
      <c r="DB93" s="49">
        <f t="shared" ref="DB93:DB103" si="310">IF(MAX(CL93,CP93,CT93,CX93)=0,"NPD",MAX(CL93,CP93,CT93,CX93))</f>
        <v>4</v>
      </c>
      <c r="DC93" s="29" t="str">
        <f t="shared" ref="DC93:DC103" si="311">IF(MAX(CM93,CQ93,CU93,CY93)&gt;10,"E"&amp;MAX(CM93,CQ93,CU93,CY93),IF(MAX(CM93,CQ93,CU93,CY93)=0,"NPD",MAX(CM93,CQ93,CU93,CY93)&amp;"A"))</f>
        <v>9A</v>
      </c>
      <c r="DD93" s="29" t="str">
        <f>+IF(OR(CN93="C",CR93="C",CV93="C",CZ93="C")=TRUE,"C",IF(OR(CN93="B",CR93="B",CV93="B",CZ93="B")=TRUE,"B",IF(OR(CN93="A",CR93="A",CV93="A",CZ93="A")=TRUE,"A","B")))</f>
        <v>C</v>
      </c>
      <c r="DE93" s="29">
        <f t="shared" si="284"/>
        <v>3</v>
      </c>
      <c r="DF93" s="29">
        <f t="shared" si="285"/>
        <v>36</v>
      </c>
      <c r="DG93" s="47">
        <f t="shared" si="286"/>
        <v>1.8979799239130433</v>
      </c>
    </row>
    <row r="94" spans="3:111" hidden="1">
      <c r="C94" s="5" t="s">
        <v>77</v>
      </c>
      <c r="D94" s="13" t="str">
        <f>+F83</f>
        <v>4+4 Silence/18/6 Guardian Sun</v>
      </c>
      <c r="F94" s="84" t="s">
        <v>118</v>
      </c>
      <c r="G94" s="85" t="str">
        <f>+VLOOKUP(D82,N82:DG103,94,FALSE)</f>
        <v>E1500</v>
      </c>
      <c r="H94"/>
      <c r="I94"/>
      <c r="K94"/>
      <c r="L94" s="19"/>
      <c r="M94" s="19"/>
      <c r="N94" s="26" t="s">
        <v>117</v>
      </c>
      <c r="O94" s="41">
        <f t="shared" si="287"/>
        <v>1</v>
      </c>
      <c r="P94" s="36">
        <f t="shared" si="288"/>
        <v>0</v>
      </c>
      <c r="Q94" s="36">
        <f t="shared" si="289"/>
        <v>0</v>
      </c>
      <c r="R94" s="37" t="s">
        <v>21</v>
      </c>
      <c r="S94" s="37" t="str">
        <f t="shared" si="297"/>
        <v>BE</v>
      </c>
      <c r="T94" s="37">
        <f t="shared" si="291"/>
        <v>800</v>
      </c>
      <c r="U94" s="37">
        <f t="shared" si="292"/>
        <v>1150</v>
      </c>
      <c r="V94" s="97">
        <f t="shared" si="293"/>
        <v>0.92</v>
      </c>
      <c r="W94" s="60">
        <v>94.5</v>
      </c>
      <c r="X94" s="60">
        <v>143.1</v>
      </c>
      <c r="Y94" s="61">
        <v>143.1</v>
      </c>
      <c r="Z94" s="102">
        <f t="shared" si="294"/>
        <v>1.33</v>
      </c>
      <c r="AA94" s="112">
        <v>2.7</v>
      </c>
      <c r="AB94" s="113">
        <v>2.8</v>
      </c>
      <c r="AC94" s="114">
        <v>2.8</v>
      </c>
      <c r="AD94" s="112">
        <v>2.1</v>
      </c>
      <c r="AE94" s="113">
        <v>2.1</v>
      </c>
      <c r="AF94" s="114">
        <v>2.1</v>
      </c>
      <c r="AG94" s="61">
        <f t="shared" si="245"/>
        <v>2.1</v>
      </c>
      <c r="AH94" s="61">
        <f t="shared" si="246"/>
        <v>2.1</v>
      </c>
      <c r="AI94" s="102">
        <f t="shared" si="247"/>
        <v>2.1</v>
      </c>
      <c r="AJ94" s="38">
        <f t="shared" si="298"/>
        <v>0.58717100000000011</v>
      </c>
      <c r="AK94" s="38">
        <f t="shared" si="299"/>
        <v>0.33282899999999999</v>
      </c>
      <c r="AL94" s="38">
        <f t="shared" si="300"/>
        <v>0</v>
      </c>
      <c r="AM94" s="38">
        <f t="shared" si="301"/>
        <v>0</v>
      </c>
      <c r="AN94" s="38">
        <f t="shared" si="302"/>
        <v>1.6085634021739128</v>
      </c>
      <c r="AO94" s="39">
        <f t="shared" si="303"/>
        <v>0.08</v>
      </c>
      <c r="AP94" s="92">
        <f t="shared" si="304"/>
        <v>0.27339130434782605</v>
      </c>
      <c r="AQ94" s="94">
        <f t="shared" si="295"/>
        <v>1.6085634021739128</v>
      </c>
      <c r="AR94" s="1">
        <f t="shared" si="255"/>
        <v>4</v>
      </c>
      <c r="AT94" s="49"/>
      <c r="AU94" s="29"/>
      <c r="AV94" s="29"/>
      <c r="AW94" s="48">
        <f t="shared" si="307"/>
        <v>0</v>
      </c>
      <c r="AX94" s="29"/>
      <c r="AY94" s="29"/>
      <c r="AZ94" s="29"/>
      <c r="BA94" s="50"/>
      <c r="BB94" s="49">
        <v>1200</v>
      </c>
      <c r="BC94" s="29">
        <v>1500</v>
      </c>
      <c r="BD94" s="29">
        <v>3</v>
      </c>
      <c r="BE94" s="48">
        <f t="shared" si="308"/>
        <v>1.8</v>
      </c>
      <c r="BF94" s="29">
        <v>4</v>
      </c>
      <c r="BG94" s="29" t="s">
        <v>100</v>
      </c>
      <c r="BH94" s="29" t="s">
        <v>81</v>
      </c>
      <c r="BI94" s="50">
        <v>5</v>
      </c>
      <c r="BJ94" s="49">
        <v>1350</v>
      </c>
      <c r="BK94" s="29">
        <v>1680</v>
      </c>
      <c r="BL94" s="29">
        <v>3</v>
      </c>
      <c r="BM94" s="48">
        <f t="shared" si="309"/>
        <v>2.2679999999999998</v>
      </c>
      <c r="BN94" s="29">
        <v>3</v>
      </c>
      <c r="BO94" s="29" t="s">
        <v>88</v>
      </c>
      <c r="BP94" s="29" t="s">
        <v>81</v>
      </c>
      <c r="BQ94" s="50">
        <v>5</v>
      </c>
      <c r="BR94" s="49">
        <v>1880</v>
      </c>
      <c r="BS94" s="29">
        <v>2380</v>
      </c>
      <c r="BT94" s="29">
        <v>3</v>
      </c>
      <c r="BU94" s="48">
        <f t="shared" si="259"/>
        <v>4.4744000000000002</v>
      </c>
      <c r="BV94" s="29">
        <v>4</v>
      </c>
      <c r="BW94" s="29" t="s">
        <v>88</v>
      </c>
      <c r="BX94" s="29" t="s">
        <v>81</v>
      </c>
      <c r="BY94" s="50">
        <v>3</v>
      </c>
      <c r="BZ94" s="49">
        <v>1230</v>
      </c>
      <c r="CA94" s="29">
        <v>1480</v>
      </c>
      <c r="CB94" s="29">
        <f t="shared" si="260"/>
        <v>1.8204</v>
      </c>
      <c r="CC94" s="29">
        <v>32</v>
      </c>
      <c r="CD94" s="29">
        <v>29</v>
      </c>
      <c r="CE94" s="29">
        <v>36</v>
      </c>
      <c r="CF94" s="29">
        <v>36</v>
      </c>
      <c r="CG94" s="29">
        <f t="shared" si="261"/>
        <v>50.538343221270054</v>
      </c>
      <c r="CH94" s="50">
        <f t="shared" si="262"/>
        <v>0</v>
      </c>
      <c r="CI94" s="67">
        <f t="shared" si="305"/>
        <v>1150</v>
      </c>
      <c r="CJ94" s="69">
        <f t="shared" si="306"/>
        <v>0.92</v>
      </c>
      <c r="CK94" s="71">
        <f t="shared" si="296"/>
        <v>1</v>
      </c>
      <c r="CL94" s="49" t="str">
        <f t="shared" si="265"/>
        <v>0</v>
      </c>
      <c r="CM94" s="29">
        <f t="shared" si="266"/>
        <v>0</v>
      </c>
      <c r="CN94" s="29" t="str">
        <f t="shared" si="267"/>
        <v>0</v>
      </c>
      <c r="CO94" s="50" t="str">
        <f t="shared" si="268"/>
        <v>0</v>
      </c>
      <c r="CP94" s="195">
        <f t="shared" si="269"/>
        <v>4</v>
      </c>
      <c r="CQ94" s="29">
        <f t="shared" si="270"/>
        <v>1200</v>
      </c>
      <c r="CR94" s="29" t="str">
        <f t="shared" si="271"/>
        <v>C</v>
      </c>
      <c r="CS94" s="194">
        <f t="shared" si="272"/>
        <v>5</v>
      </c>
      <c r="CT94" s="49">
        <f t="shared" si="273"/>
        <v>3</v>
      </c>
      <c r="CU94" s="29">
        <f t="shared" si="274"/>
        <v>9</v>
      </c>
      <c r="CV94" s="29" t="str">
        <f t="shared" si="275"/>
        <v>C</v>
      </c>
      <c r="CW94" s="50">
        <f t="shared" si="276"/>
        <v>5</v>
      </c>
      <c r="CX94" s="49">
        <f t="shared" si="277"/>
        <v>4</v>
      </c>
      <c r="CY94" s="29">
        <f t="shared" si="278"/>
        <v>9</v>
      </c>
      <c r="CZ94" s="29" t="str">
        <f t="shared" si="279"/>
        <v>C</v>
      </c>
      <c r="DA94" s="50">
        <f t="shared" si="280"/>
        <v>3</v>
      </c>
      <c r="DB94" s="49">
        <f t="shared" si="310"/>
        <v>4</v>
      </c>
      <c r="DC94" s="29" t="str">
        <f t="shared" si="311"/>
        <v>E1200</v>
      </c>
      <c r="DD94" s="29" t="str">
        <f>+IF(OR(CN94="C",CR94="C",CV94="C",CZ94="C")=TRUE,"C",IF(OR(CN94="B",CR94="B",CV94="B",CZ94="B")=TRUE,"B",IF(OR(CN94="A",CR94="A",CV94="A",CZ94="A")=TRUE,"A","B")))</f>
        <v>C</v>
      </c>
      <c r="DE94" s="29">
        <f t="shared" si="284"/>
        <v>5</v>
      </c>
      <c r="DF94" s="29">
        <f t="shared" si="285"/>
        <v>36</v>
      </c>
      <c r="DG94" s="47">
        <f t="shared" si="286"/>
        <v>1.6085634021739128</v>
      </c>
    </row>
    <row r="95" spans="3:111" hidden="1">
      <c r="C95" s="6" t="s">
        <v>120</v>
      </c>
      <c r="D95" s="12">
        <f>+G86</f>
        <v>1.33</v>
      </c>
      <c r="F95" s="84" t="s">
        <v>121</v>
      </c>
      <c r="G95" s="85" t="str">
        <f>+IF(OR(D82=N96,D82=N97,D82=N98,D82=N99,D82=N103)=TRUE,"NPD",IF(D85="SI","APTE","NPD"))</f>
        <v>APTE</v>
      </c>
      <c r="I95" s="1" t="str">
        <f>+IF(OR(D82=N96,D82=N97,D82=N98,D82=N99,D82=N100)=TRUE,"CORREDISSA",IF(D82=N103,"ELEVABLE",IF(D85="SI","OSCIL·LOBATENT","PRACTICABLE")))</f>
        <v>OSCIL·LOBATENT</v>
      </c>
      <c r="K95"/>
      <c r="L95" s="19"/>
      <c r="M95" s="19"/>
      <c r="N95" s="26" t="s">
        <v>119</v>
      </c>
      <c r="O95" s="41">
        <f t="shared" si="287"/>
        <v>1</v>
      </c>
      <c r="P95" s="36">
        <f t="shared" si="288"/>
        <v>0</v>
      </c>
      <c r="Q95" s="36">
        <f t="shared" si="289"/>
        <v>0</v>
      </c>
      <c r="R95" s="37" t="s">
        <v>21</v>
      </c>
      <c r="S95" s="37" t="str">
        <f t="shared" si="297"/>
        <v>BE</v>
      </c>
      <c r="T95" s="37">
        <f t="shared" si="291"/>
        <v>800</v>
      </c>
      <c r="U95" s="37">
        <f t="shared" si="292"/>
        <v>1150</v>
      </c>
      <c r="V95" s="97">
        <f t="shared" si="293"/>
        <v>0.92</v>
      </c>
      <c r="W95" s="60">
        <v>98.1</v>
      </c>
      <c r="X95" s="60">
        <v>160.4</v>
      </c>
      <c r="Y95" s="61">
        <v>160.4</v>
      </c>
      <c r="Z95" s="102">
        <f t="shared" si="294"/>
        <v>1.33</v>
      </c>
      <c r="AA95" s="112">
        <v>2.7</v>
      </c>
      <c r="AB95" s="113">
        <v>2.8</v>
      </c>
      <c r="AC95" s="114">
        <v>2.8</v>
      </c>
      <c r="AD95" s="112">
        <v>2.5</v>
      </c>
      <c r="AE95" s="113">
        <v>2.5</v>
      </c>
      <c r="AF95" s="114">
        <v>2.5</v>
      </c>
      <c r="AG95" s="61">
        <f t="shared" si="245"/>
        <v>2.5</v>
      </c>
      <c r="AH95" s="61">
        <f t="shared" si="246"/>
        <v>2.5</v>
      </c>
      <c r="AI95" s="102">
        <f t="shared" si="247"/>
        <v>2.5</v>
      </c>
      <c r="AJ95" s="38">
        <f t="shared" si="298"/>
        <v>0.57590443999999996</v>
      </c>
      <c r="AK95" s="38">
        <f t="shared" si="299"/>
        <v>0.34409556000000008</v>
      </c>
      <c r="AL95" s="38">
        <f t="shared" si="300"/>
        <v>0</v>
      </c>
      <c r="AM95" s="38">
        <f t="shared" si="301"/>
        <v>0</v>
      </c>
      <c r="AN95" s="38">
        <f t="shared" si="302"/>
        <v>1.7675997882608696</v>
      </c>
      <c r="AO95" s="39">
        <f t="shared" si="303"/>
        <v>0.08</v>
      </c>
      <c r="AP95" s="92">
        <f t="shared" si="304"/>
        <v>0.27088695652173911</v>
      </c>
      <c r="AQ95" s="94">
        <f t="shared" si="295"/>
        <v>1.7675997882608696</v>
      </c>
      <c r="AR95" s="1">
        <f t="shared" si="255"/>
        <v>4</v>
      </c>
      <c r="AT95" s="49"/>
      <c r="AU95" s="29"/>
      <c r="AV95" s="29"/>
      <c r="AW95" s="48">
        <f t="shared" si="307"/>
        <v>0</v>
      </c>
      <c r="AX95" s="29"/>
      <c r="AY95" s="29"/>
      <c r="AZ95" s="29"/>
      <c r="BA95" s="50"/>
      <c r="BB95" s="49"/>
      <c r="BC95" s="29"/>
      <c r="BD95" s="29"/>
      <c r="BE95" s="48">
        <f t="shared" si="308"/>
        <v>0</v>
      </c>
      <c r="BF95" s="29"/>
      <c r="BG95" s="29"/>
      <c r="BH95" s="29"/>
      <c r="BI95" s="50"/>
      <c r="BJ95" s="49">
        <v>1250</v>
      </c>
      <c r="BK95" s="29">
        <v>1500</v>
      </c>
      <c r="BL95" s="29">
        <v>3</v>
      </c>
      <c r="BM95" s="48">
        <f t="shared" si="309"/>
        <v>1.875</v>
      </c>
      <c r="BN95" s="29">
        <v>4</v>
      </c>
      <c r="BO95" s="29" t="s">
        <v>93</v>
      </c>
      <c r="BP95" s="29" t="s">
        <v>81</v>
      </c>
      <c r="BQ95" s="50">
        <v>5</v>
      </c>
      <c r="BR95" s="49">
        <v>1900</v>
      </c>
      <c r="BS95" s="29">
        <v>2380</v>
      </c>
      <c r="BT95" s="29">
        <v>3</v>
      </c>
      <c r="BU95" s="48">
        <f t="shared" si="259"/>
        <v>4.5220000000000002</v>
      </c>
      <c r="BV95" s="29">
        <v>4</v>
      </c>
      <c r="BW95" s="29" t="s">
        <v>88</v>
      </c>
      <c r="BX95" s="29" t="s">
        <v>81</v>
      </c>
      <c r="BY95" s="50">
        <v>4</v>
      </c>
      <c r="BZ95" s="49">
        <v>1230</v>
      </c>
      <c r="CA95" s="29">
        <v>1480</v>
      </c>
      <c r="CB95" s="29">
        <f t="shared" si="260"/>
        <v>1.8204</v>
      </c>
      <c r="CC95" s="29">
        <v>32</v>
      </c>
      <c r="CD95" s="29">
        <v>29</v>
      </c>
      <c r="CE95" s="29">
        <v>36</v>
      </c>
      <c r="CF95" s="29">
        <v>36</v>
      </c>
      <c r="CG95" s="29">
        <f t="shared" si="261"/>
        <v>50.538343221270054</v>
      </c>
      <c r="CH95" s="50">
        <f t="shared" si="262"/>
        <v>0</v>
      </c>
      <c r="CI95" s="67">
        <f t="shared" si="305"/>
        <v>1150</v>
      </c>
      <c r="CJ95" s="69">
        <f t="shared" si="306"/>
        <v>0.92</v>
      </c>
      <c r="CK95" s="71">
        <f t="shared" si="296"/>
        <v>1</v>
      </c>
      <c r="CL95" s="49" t="str">
        <f t="shared" si="265"/>
        <v>0</v>
      </c>
      <c r="CM95" s="29">
        <f t="shared" si="266"/>
        <v>0</v>
      </c>
      <c r="CN95" s="29" t="str">
        <f t="shared" si="267"/>
        <v>0</v>
      </c>
      <c r="CO95" s="50" t="str">
        <f t="shared" si="268"/>
        <v>0</v>
      </c>
      <c r="CP95" s="195" t="str">
        <f t="shared" si="269"/>
        <v>0</v>
      </c>
      <c r="CQ95" s="29">
        <f t="shared" si="270"/>
        <v>0</v>
      </c>
      <c r="CR95" s="29" t="str">
        <f t="shared" si="271"/>
        <v>0</v>
      </c>
      <c r="CS95" s="194" t="str">
        <f t="shared" si="272"/>
        <v>0</v>
      </c>
      <c r="CT95" s="49">
        <f t="shared" si="273"/>
        <v>4</v>
      </c>
      <c r="CU95" s="29">
        <f t="shared" si="274"/>
        <v>6</v>
      </c>
      <c r="CV95" s="29" t="str">
        <f t="shared" si="275"/>
        <v>C</v>
      </c>
      <c r="CW95" s="50">
        <f t="shared" si="276"/>
        <v>5</v>
      </c>
      <c r="CX95" s="49">
        <f t="shared" si="277"/>
        <v>4</v>
      </c>
      <c r="CY95" s="29">
        <f t="shared" si="278"/>
        <v>9</v>
      </c>
      <c r="CZ95" s="29" t="str">
        <f t="shared" si="279"/>
        <v>C</v>
      </c>
      <c r="DA95" s="50">
        <f t="shared" si="280"/>
        <v>4</v>
      </c>
      <c r="DB95" s="49">
        <f t="shared" si="310"/>
        <v>4</v>
      </c>
      <c r="DC95" s="29" t="str">
        <f t="shared" si="311"/>
        <v>9A</v>
      </c>
      <c r="DD95" s="29" t="str">
        <f>+IF(OR(CN95="C",CR95="C",CV95="C",CZ95="C")=TRUE,"C",IF(OR(CN95="B",CR95="B",CV95="B",CZ95="B")=TRUE,"B",IF(OR(CN95="A",CR95="A",CV95="A",CZ95="A")=TRUE,"A","B")))</f>
        <v>C</v>
      </c>
      <c r="DE95" s="29">
        <f t="shared" si="284"/>
        <v>5</v>
      </c>
      <c r="DF95" s="29">
        <f t="shared" si="285"/>
        <v>36</v>
      </c>
      <c r="DG95" s="47">
        <f t="shared" si="286"/>
        <v>1.7675997882608696</v>
      </c>
    </row>
    <row r="96" spans="3:111" ht="15" hidden="1" thickBot="1">
      <c r="C96" s="8" t="s">
        <v>123</v>
      </c>
      <c r="D96" s="21">
        <f>+G85</f>
        <v>37</v>
      </c>
      <c r="F96" s="84" t="s">
        <v>124</v>
      </c>
      <c r="G96" s="85">
        <f>+VLOOKUP(D82,N82:DG103,97,FALSE)</f>
        <v>37</v>
      </c>
      <c r="I96"/>
      <c r="K96"/>
      <c r="L96" s="19"/>
      <c r="M96" s="19"/>
      <c r="N96" s="26" t="s">
        <v>122</v>
      </c>
      <c r="O96" s="41">
        <f t="shared" si="287"/>
        <v>1</v>
      </c>
      <c r="P96" s="36">
        <f t="shared" si="288"/>
        <v>0</v>
      </c>
      <c r="Q96" s="36">
        <f t="shared" si="289"/>
        <v>0</v>
      </c>
      <c r="R96" s="37" t="s">
        <v>23</v>
      </c>
      <c r="S96" s="37" t="str">
        <f t="shared" si="297"/>
        <v>BE</v>
      </c>
      <c r="T96" s="37">
        <f t="shared" si="291"/>
        <v>800</v>
      </c>
      <c r="U96" s="37">
        <f t="shared" si="292"/>
        <v>1150</v>
      </c>
      <c r="V96" s="97">
        <f t="shared" si="293"/>
        <v>0.92</v>
      </c>
      <c r="W96" s="37">
        <v>93.6</v>
      </c>
      <c r="X96" s="37">
        <v>62.9</v>
      </c>
      <c r="Y96" s="37"/>
      <c r="Z96" s="102">
        <f t="shared" si="294"/>
        <v>1.33</v>
      </c>
      <c r="AA96" s="110">
        <v>6.7</v>
      </c>
      <c r="AB96" s="56">
        <v>6.8</v>
      </c>
      <c r="AC96" s="111"/>
      <c r="AD96" s="110">
        <v>6.7</v>
      </c>
      <c r="AE96" s="56">
        <v>6.8</v>
      </c>
      <c r="AF96" s="111"/>
      <c r="AG96" s="105">
        <f t="shared" si="245"/>
        <v>6.7</v>
      </c>
      <c r="AH96" s="37">
        <f t="shared" si="246"/>
        <v>6.8</v>
      </c>
      <c r="AI96" s="102">
        <f t="shared" si="247"/>
        <v>0</v>
      </c>
      <c r="AJ96" s="38">
        <f t="shared" si="298"/>
        <v>0.59000384000000006</v>
      </c>
      <c r="AK96" s="38">
        <f t="shared" si="299"/>
        <v>0.32999616000000004</v>
      </c>
      <c r="AL96" s="38">
        <f t="shared" si="300"/>
        <v>0</v>
      </c>
      <c r="AM96" s="38">
        <f t="shared" si="301"/>
        <v>0</v>
      </c>
      <c r="AN96" s="38">
        <f t="shared" si="302"/>
        <v>3.2561732382608697</v>
      </c>
      <c r="AO96" s="39">
        <f t="shared" si="303"/>
        <v>0</v>
      </c>
      <c r="AP96" s="92">
        <f t="shared" si="304"/>
        <v>0</v>
      </c>
      <c r="AQ96" s="94">
        <f t="shared" si="295"/>
        <v>3.2561732382608697</v>
      </c>
      <c r="AR96" s="1">
        <f t="shared" si="255"/>
        <v>4</v>
      </c>
      <c r="AT96" s="49"/>
      <c r="AU96" s="29"/>
      <c r="AV96" s="29"/>
      <c r="AW96" s="48">
        <f t="shared" si="307"/>
        <v>0</v>
      </c>
      <c r="AX96" s="29"/>
      <c r="AY96" s="29"/>
      <c r="AZ96" s="29"/>
      <c r="BA96" s="50"/>
      <c r="BB96" s="49"/>
      <c r="BC96" s="29"/>
      <c r="BD96" s="29"/>
      <c r="BE96" s="48">
        <f t="shared" si="308"/>
        <v>0</v>
      </c>
      <c r="BF96" s="29"/>
      <c r="BG96" s="29"/>
      <c r="BH96" s="29"/>
      <c r="BI96" s="50"/>
      <c r="BJ96" s="49">
        <v>2900</v>
      </c>
      <c r="BK96" s="29">
        <v>2300</v>
      </c>
      <c r="BL96" s="29">
        <v>4</v>
      </c>
      <c r="BM96" s="48">
        <f t="shared" si="309"/>
        <v>6.67</v>
      </c>
      <c r="BN96" s="29">
        <v>4</v>
      </c>
      <c r="BO96" s="29" t="s">
        <v>82</v>
      </c>
      <c r="BP96" s="29" t="s">
        <v>81</v>
      </c>
      <c r="BQ96" s="50">
        <v>2</v>
      </c>
      <c r="BR96" s="49">
        <v>1600</v>
      </c>
      <c r="BS96" s="29">
        <v>2100</v>
      </c>
      <c r="BT96" s="29">
        <v>2</v>
      </c>
      <c r="BU96" s="48">
        <f t="shared" si="259"/>
        <v>3.36</v>
      </c>
      <c r="BV96" s="29">
        <v>4</v>
      </c>
      <c r="BW96" s="29" t="s">
        <v>100</v>
      </c>
      <c r="BX96" s="29" t="s">
        <v>81</v>
      </c>
      <c r="BY96" s="50">
        <v>4</v>
      </c>
      <c r="BZ96" s="49">
        <v>1400</v>
      </c>
      <c r="CA96" s="29">
        <v>1500</v>
      </c>
      <c r="CB96" s="29">
        <f t="shared" si="260"/>
        <v>2.1</v>
      </c>
      <c r="CC96" s="29">
        <v>33</v>
      </c>
      <c r="CD96" s="29">
        <v>29</v>
      </c>
      <c r="CE96" s="29">
        <v>37</v>
      </c>
      <c r="CF96" s="29">
        <v>33</v>
      </c>
      <c r="CG96" s="29">
        <f t="shared" si="261"/>
        <v>43.80952380952381</v>
      </c>
      <c r="CH96" s="50">
        <f t="shared" si="262"/>
        <v>0</v>
      </c>
      <c r="CI96" s="67">
        <f t="shared" si="305"/>
        <v>1150</v>
      </c>
      <c r="CJ96" s="69">
        <f t="shared" si="306"/>
        <v>0.92</v>
      </c>
      <c r="CK96" s="71">
        <v>2</v>
      </c>
      <c r="CL96" s="49" t="str">
        <f t="shared" si="265"/>
        <v>0</v>
      </c>
      <c r="CM96" s="29">
        <f t="shared" si="266"/>
        <v>0</v>
      </c>
      <c r="CN96" s="29" t="str">
        <f t="shared" si="267"/>
        <v>0</v>
      </c>
      <c r="CO96" s="50" t="str">
        <f t="shared" si="268"/>
        <v>0</v>
      </c>
      <c r="CP96" s="195" t="str">
        <f t="shared" si="269"/>
        <v>0</v>
      </c>
      <c r="CQ96" s="29">
        <f t="shared" si="270"/>
        <v>0</v>
      </c>
      <c r="CR96" s="29" t="str">
        <f t="shared" si="271"/>
        <v>0</v>
      </c>
      <c r="CS96" s="194" t="str">
        <f t="shared" si="272"/>
        <v>0</v>
      </c>
      <c r="CT96" s="49">
        <f t="shared" si="273"/>
        <v>4</v>
      </c>
      <c r="CU96" s="29">
        <f t="shared" si="274"/>
        <v>7</v>
      </c>
      <c r="CV96" s="29" t="str">
        <f t="shared" si="275"/>
        <v>C</v>
      </c>
      <c r="CW96" s="50">
        <f t="shared" si="276"/>
        <v>2</v>
      </c>
      <c r="CX96" s="49">
        <f t="shared" si="277"/>
        <v>4</v>
      </c>
      <c r="CY96" s="29">
        <f t="shared" si="278"/>
        <v>1200</v>
      </c>
      <c r="CZ96" s="29" t="str">
        <f t="shared" si="279"/>
        <v>C</v>
      </c>
      <c r="DA96" s="50">
        <f t="shared" si="280"/>
        <v>4</v>
      </c>
      <c r="DB96" s="49">
        <f t="shared" si="310"/>
        <v>4</v>
      </c>
      <c r="DC96" s="29" t="str">
        <f t="shared" si="311"/>
        <v>E1200</v>
      </c>
      <c r="DD96" s="29" t="str">
        <f>+IF(OR(CN96="C",CR96="C",CV96="C",CZ96="C")=TRUE,"C",IF(OR(CN96="B",CR96="B",CV96="B",CZ96="B")=TRUE,"B",IF(OR(CN96="A",CR96="A",CV96="A",CZ96="A")=TRUE,"A","B")))</f>
        <v>C</v>
      </c>
      <c r="DE96" s="29">
        <f t="shared" si="284"/>
        <v>4</v>
      </c>
      <c r="DF96" s="29">
        <f t="shared" si="285"/>
        <v>37</v>
      </c>
      <c r="DG96" s="47">
        <f t="shared" si="286"/>
        <v>3.2561732382608697</v>
      </c>
    </row>
    <row r="97" spans="3:111" hidden="1">
      <c r="F97" s="84" t="s">
        <v>127</v>
      </c>
      <c r="G97" s="86">
        <f>+VLOOKUP(D82,N82:DG103,98,FALSE)</f>
        <v>1.7492682282608696</v>
      </c>
      <c r="I97"/>
      <c r="K97"/>
      <c r="L97" s="19"/>
      <c r="M97" s="19"/>
      <c r="N97" s="26" t="s">
        <v>125</v>
      </c>
      <c r="O97" s="41">
        <f t="shared" si="287"/>
        <v>1</v>
      </c>
      <c r="P97" s="36">
        <f t="shared" si="288"/>
        <v>0</v>
      </c>
      <c r="Q97" s="36">
        <f t="shared" si="289"/>
        <v>0</v>
      </c>
      <c r="R97" s="37" t="s">
        <v>23</v>
      </c>
      <c r="S97" s="37" t="str">
        <f t="shared" si="297"/>
        <v>BE</v>
      </c>
      <c r="T97" s="37">
        <f t="shared" si="291"/>
        <v>800</v>
      </c>
      <c r="U97" s="37">
        <f t="shared" si="292"/>
        <v>1150</v>
      </c>
      <c r="V97" s="97">
        <f t="shared" si="293"/>
        <v>0.92</v>
      </c>
      <c r="W97" s="37">
        <v>98.4</v>
      </c>
      <c r="X97" s="37">
        <v>67.400000000000006</v>
      </c>
      <c r="Y97" s="37">
        <v>140.5</v>
      </c>
      <c r="Z97" s="102">
        <f t="shared" si="294"/>
        <v>1.33</v>
      </c>
      <c r="AA97" s="110">
        <v>6.6</v>
      </c>
      <c r="AB97" s="56">
        <v>8.1</v>
      </c>
      <c r="AC97" s="111">
        <v>7</v>
      </c>
      <c r="AD97" s="110">
        <v>6.6</v>
      </c>
      <c r="AE97" s="56">
        <v>8.1</v>
      </c>
      <c r="AF97" s="111">
        <v>7</v>
      </c>
      <c r="AG97" s="105">
        <f t="shared" si="245"/>
        <v>6.6</v>
      </c>
      <c r="AH97" s="37">
        <f t="shared" si="246"/>
        <v>8.1</v>
      </c>
      <c r="AI97" s="102">
        <f t="shared" si="247"/>
        <v>7</v>
      </c>
      <c r="AJ97" s="38">
        <f t="shared" si="298"/>
        <v>0.57497024000000008</v>
      </c>
      <c r="AK97" s="38">
        <f t="shared" si="299"/>
        <v>0.34502975999999991</v>
      </c>
      <c r="AL97" s="38">
        <f t="shared" si="300"/>
        <v>0</v>
      </c>
      <c r="AM97" s="38">
        <f t="shared" si="301"/>
        <v>0</v>
      </c>
      <c r="AN97" s="38">
        <f t="shared" si="302"/>
        <v>3.3064204730434779</v>
      </c>
      <c r="AO97" s="39">
        <f t="shared" si="303"/>
        <v>0</v>
      </c>
      <c r="AP97" s="92">
        <f t="shared" si="304"/>
        <v>0</v>
      </c>
      <c r="AQ97" s="94">
        <f t="shared" si="295"/>
        <v>3.3064204730434779</v>
      </c>
      <c r="AR97" s="1">
        <f t="shared" si="255"/>
        <v>3</v>
      </c>
      <c r="AT97" s="49"/>
      <c r="AU97" s="29"/>
      <c r="AV97" s="29"/>
      <c r="AW97" s="48">
        <f t="shared" si="307"/>
        <v>0</v>
      </c>
      <c r="AX97" s="29"/>
      <c r="AY97" s="29"/>
      <c r="AZ97" s="29"/>
      <c r="BA97" s="50"/>
      <c r="BB97" s="49"/>
      <c r="BC97" s="29"/>
      <c r="BD97" s="29"/>
      <c r="BE97" s="48">
        <f t="shared" si="308"/>
        <v>0</v>
      </c>
      <c r="BF97" s="29"/>
      <c r="BG97" s="29"/>
      <c r="BH97" s="29"/>
      <c r="BI97" s="50"/>
      <c r="BJ97" s="49"/>
      <c r="BK97" s="29"/>
      <c r="BL97" s="29"/>
      <c r="BM97" s="48">
        <f t="shared" si="309"/>
        <v>0</v>
      </c>
      <c r="BN97" s="29"/>
      <c r="BO97" s="29"/>
      <c r="BP97" s="29"/>
      <c r="BQ97" s="50"/>
      <c r="BR97" s="49">
        <v>2000</v>
      </c>
      <c r="BS97" s="29">
        <v>1500</v>
      </c>
      <c r="BT97" s="29">
        <v>2</v>
      </c>
      <c r="BU97" s="48">
        <f t="shared" ref="BU97:BU103" si="312">+BR97*BS97/1000000</f>
        <v>3</v>
      </c>
      <c r="BV97" s="29">
        <v>3</v>
      </c>
      <c r="BW97" s="29" t="s">
        <v>126</v>
      </c>
      <c r="BX97" s="29" t="s">
        <v>81</v>
      </c>
      <c r="BY97" s="50">
        <v>1</v>
      </c>
      <c r="BZ97" s="49">
        <v>1230</v>
      </c>
      <c r="CA97" s="29">
        <v>1480</v>
      </c>
      <c r="CB97" s="29">
        <f t="shared" ref="CB97:CB103" si="313">+BZ97*CA97/1000000</f>
        <v>1.8204</v>
      </c>
      <c r="CC97" s="29">
        <v>33</v>
      </c>
      <c r="CD97" s="29">
        <v>29</v>
      </c>
      <c r="CE97" s="29">
        <v>34</v>
      </c>
      <c r="CF97" s="29">
        <v>33</v>
      </c>
      <c r="CG97" s="29">
        <f t="shared" ref="CG97:CG103" si="314">+V97/CB97*100</f>
        <v>50.538343221270054</v>
      </c>
      <c r="CH97" s="50">
        <f t="shared" ref="CH97:CH103" si="315">+IF(CG97&lt;150,0,IF(CG97&lt;200,1,IF(CG97&lt;250,2,3)))</f>
        <v>0</v>
      </c>
      <c r="CI97" s="67">
        <f t="shared" si="305"/>
        <v>1150</v>
      </c>
      <c r="CJ97" s="69">
        <f t="shared" si="306"/>
        <v>0.92</v>
      </c>
      <c r="CK97" s="71">
        <f t="shared" si="296"/>
        <v>1</v>
      </c>
      <c r="CL97" s="49" t="str">
        <f t="shared" ref="CL97:CL103" si="316">+IF(OR(CJ97&gt;AW97*1.5,CK97&gt;AV97)=TRUE,"0",AX97)</f>
        <v>0</v>
      </c>
      <c r="CM97" s="29">
        <f t="shared" ref="CM97:CM103" si="317">VALUE(IF(OR(CJ97&gt;AW97*1.5,CK97&gt;AV97)=TRUE,"0",IF(LEN(AY97)=2,MID(AY97,1,1),MID(AY97,2,4))))</f>
        <v>0</v>
      </c>
      <c r="CN97" s="29" t="str">
        <f t="shared" ref="CN97:CN103" si="318">+IF(OR(CI97&gt;AU97,CJ97&gt;AW97,CK97&gt;AV97)=TRUE,"0",AZ97)</f>
        <v>0</v>
      </c>
      <c r="CO97" s="50" t="str">
        <f t="shared" ref="CO97:CO103" si="319">+IF(OR(CI97&gt;AU97,CJ97&gt;AW97,CK97&gt;AV97)=TRUE,"0",BA97)</f>
        <v>0</v>
      </c>
      <c r="CP97" s="195" t="str">
        <f t="shared" ref="CP97:CP103" si="320">+IF(OR(CJ97&gt;BE97*1.5,CK97&gt;BD97)=TRUE,"0",BF97)</f>
        <v>0</v>
      </c>
      <c r="CQ97" s="29">
        <f t="shared" ref="CQ97:CQ103" si="321">VALUE(IF(OR(CJ97&gt;BE97*1.5,CK97&gt;BD97)=TRUE,"0",IF(LEN(BG97)=2,MID(BG97,1,1),MID(BG97,2,4))))</f>
        <v>0</v>
      </c>
      <c r="CR97" s="29" t="str">
        <f t="shared" ref="CR97:CR103" si="322">+IF(OR(CI97&gt;BC97,CJ97&gt;BE97,CK97&gt;BD97)=TRUE,"0",BH97)</f>
        <v>0</v>
      </c>
      <c r="CS97" s="194" t="str">
        <f t="shared" ref="CS97:CS103" si="323">+IF(OR(CI97&gt;BC97,CJ97&gt;BE97,CK97&gt;BD97)=TRUE,"0",BI97)</f>
        <v>0</v>
      </c>
      <c r="CT97" s="49" t="str">
        <f t="shared" ref="CT97:CT103" si="324">+IF(OR(CJ97&gt;BM97*1.5,CK97&gt;BL97)=TRUE,"0",BN97)</f>
        <v>0</v>
      </c>
      <c r="CU97" s="29">
        <f t="shared" ref="CU97:CU103" si="325">VALUE(IF(OR(CJ97&gt;BM97*1.5,CK97&gt;BL97)=TRUE,"0",IF(LEN(BO97)=2,MID(BO97,1,1),MID(BO97,2,4))))</f>
        <v>0</v>
      </c>
      <c r="CV97" s="29" t="str">
        <f t="shared" ref="CV97:CV103" si="326">+IF(OR(CI97&gt;BK97,CJ97&gt;BM97,CK97&gt;BL97)=TRUE,"0",BP97)</f>
        <v>0</v>
      </c>
      <c r="CW97" s="50" t="str">
        <f t="shared" ref="CW97:CW103" si="327">+IF(OR(CI97&gt;BK97,CJ97&gt;BM97,CK97&gt;BL97)=TRUE,"0",BQ97)</f>
        <v>0</v>
      </c>
      <c r="CX97" s="49">
        <f t="shared" ref="CX97:CX103" si="328">+IF(OR(CJ97&gt;BU97*1.5,CK97&gt;BT97)=TRUE,"0",BV97)</f>
        <v>3</v>
      </c>
      <c r="CY97" s="29">
        <f t="shared" ref="CY97:CY103" si="329">VALUE(IF(OR(CJ97&gt;BU97*1.5,CK97&gt;BT97)=TRUE,"0",IF(LEN(BW97)=2,MID(BW97,1,1),MID(BW97,2,4))))</f>
        <v>4</v>
      </c>
      <c r="CZ97" s="29" t="str">
        <f t="shared" ref="CZ97:CZ103" si="330">+IF(OR(CI97&gt;BS97,CJ97&gt;BU97,CK97&gt;BT97)=TRUE,"0",BX97)</f>
        <v>C</v>
      </c>
      <c r="DA97" s="50">
        <f t="shared" ref="DA97:DA103" si="331">+IF(OR(CI97&gt;BS97,CJ97&gt;BU97,CK97&gt;BT97)=TRUE,"0",BY97)</f>
        <v>1</v>
      </c>
      <c r="DB97" s="49">
        <f t="shared" si="310"/>
        <v>3</v>
      </c>
      <c r="DC97" s="29" t="str">
        <f t="shared" si="311"/>
        <v>4A</v>
      </c>
      <c r="DD97" s="29" t="str">
        <f t="shared" ref="DD97:DD103" si="332">+IF(OR(CN97="C",CR97="C",CV97="C",CZ97="C")=TRUE,"C",IF(OR(CN97="B",CR97="B",CV97="B",CZ97="B")=TRUE,"B",IF(OR(CN97="A",CR97="A",CV97="A",CZ97="A")=TRUE,"A","A")))</f>
        <v>C</v>
      </c>
      <c r="DE97" s="29">
        <f t="shared" si="284"/>
        <v>1</v>
      </c>
      <c r="DF97" s="29">
        <f t="shared" ref="DF97:DF103" si="333">+IF(D$22&lt;CD97,"NPD",IF(D$22&lt;CF97,CC97-CH97,CE97-CH97))</f>
        <v>34</v>
      </c>
      <c r="DG97" s="47">
        <f t="shared" ref="DG97:DG103" si="334">+AN97</f>
        <v>3.3064204730434779</v>
      </c>
    </row>
    <row r="98" spans="3:111" ht="15" hidden="1" thickBot="1">
      <c r="F98" s="87" t="s">
        <v>131</v>
      </c>
      <c r="G98" s="88">
        <f>+VLOOKUP(D82,N82:DG103,93,FALSE)</f>
        <v>4</v>
      </c>
      <c r="I98"/>
      <c r="J98"/>
      <c r="K98"/>
      <c r="L98" s="19"/>
      <c r="M98" s="19"/>
      <c r="N98" s="26" t="s">
        <v>128</v>
      </c>
      <c r="O98" s="41">
        <f t="shared" si="287"/>
        <v>1</v>
      </c>
      <c r="P98" s="36">
        <f t="shared" si="288"/>
        <v>0</v>
      </c>
      <c r="Q98" s="36">
        <f t="shared" si="289"/>
        <v>0</v>
      </c>
      <c r="R98" s="37" t="s">
        <v>21</v>
      </c>
      <c r="S98" s="37" t="str">
        <f t="shared" si="297"/>
        <v>BE</v>
      </c>
      <c r="T98" s="37">
        <f t="shared" si="291"/>
        <v>800</v>
      </c>
      <c r="U98" s="37">
        <f t="shared" si="292"/>
        <v>1150</v>
      </c>
      <c r="V98" s="97">
        <f t="shared" si="293"/>
        <v>0.92</v>
      </c>
      <c r="W98" s="37">
        <v>113.1</v>
      </c>
      <c r="X98" s="37">
        <v>83.5</v>
      </c>
      <c r="Y98" s="37">
        <v>155.30000000000001</v>
      </c>
      <c r="Z98" s="102">
        <f t="shared" si="294"/>
        <v>1.33</v>
      </c>
      <c r="AA98" s="110">
        <v>3.6</v>
      </c>
      <c r="AB98" s="56">
        <v>5.3</v>
      </c>
      <c r="AC98" s="111">
        <v>3</v>
      </c>
      <c r="AD98" s="110">
        <v>3.6</v>
      </c>
      <c r="AE98" s="56">
        <v>5.3</v>
      </c>
      <c r="AF98" s="111">
        <v>3</v>
      </c>
      <c r="AG98" s="105">
        <f t="shared" si="245"/>
        <v>3.6</v>
      </c>
      <c r="AH98" s="37">
        <f t="shared" si="246"/>
        <v>5.3</v>
      </c>
      <c r="AI98" s="102">
        <f t="shared" si="247"/>
        <v>3</v>
      </c>
      <c r="AJ98" s="38">
        <f t="shared" si="298"/>
        <v>0.53007643999999998</v>
      </c>
      <c r="AK98" s="38">
        <f t="shared" si="299"/>
        <v>0.38992356000000006</v>
      </c>
      <c r="AL98" s="38">
        <f t="shared" si="300"/>
        <v>0</v>
      </c>
      <c r="AM98" s="38">
        <f t="shared" si="301"/>
        <v>0</v>
      </c>
      <c r="AN98" s="38">
        <f t="shared" si="302"/>
        <v>2.2920940013043478</v>
      </c>
      <c r="AO98" s="39">
        <f t="shared" si="303"/>
        <v>0.08</v>
      </c>
      <c r="AP98" s="92">
        <f t="shared" si="304"/>
        <v>0.26045217391304343</v>
      </c>
      <c r="AQ98" s="94">
        <f t="shared" si="295"/>
        <v>2.2920940013043478</v>
      </c>
      <c r="AR98" s="1">
        <f t="shared" si="255"/>
        <v>4</v>
      </c>
      <c r="AT98" s="49">
        <v>2000</v>
      </c>
      <c r="AU98" s="29">
        <v>1500</v>
      </c>
      <c r="AV98" s="29">
        <v>2</v>
      </c>
      <c r="AW98" s="48">
        <f t="shared" si="307"/>
        <v>3</v>
      </c>
      <c r="AX98" s="29">
        <v>4</v>
      </c>
      <c r="AY98" s="29" t="s">
        <v>82</v>
      </c>
      <c r="AZ98" s="29" t="s">
        <v>81</v>
      </c>
      <c r="BA98" s="50">
        <v>2</v>
      </c>
      <c r="BB98" s="49">
        <v>2900</v>
      </c>
      <c r="BC98" s="29">
        <v>2100</v>
      </c>
      <c r="BD98" s="29">
        <v>3</v>
      </c>
      <c r="BE98" s="48">
        <f t="shared" si="308"/>
        <v>6.09</v>
      </c>
      <c r="BF98" s="29">
        <v>4</v>
      </c>
      <c r="BG98" s="29" t="s">
        <v>129</v>
      </c>
      <c r="BH98" s="29" t="s">
        <v>81</v>
      </c>
      <c r="BI98" s="50">
        <v>1</v>
      </c>
      <c r="BJ98" s="49">
        <v>2900</v>
      </c>
      <c r="BK98" s="29">
        <v>2100</v>
      </c>
      <c r="BL98" s="29">
        <v>4</v>
      </c>
      <c r="BM98" s="48">
        <f t="shared" si="309"/>
        <v>6.09</v>
      </c>
      <c r="BN98" s="29">
        <v>4</v>
      </c>
      <c r="BO98" s="29" t="s">
        <v>126</v>
      </c>
      <c r="BP98" s="29" t="s">
        <v>81</v>
      </c>
      <c r="BQ98" s="50">
        <v>1</v>
      </c>
      <c r="BR98" s="49">
        <v>2900</v>
      </c>
      <c r="BS98" s="29">
        <v>2300</v>
      </c>
      <c r="BT98" s="29">
        <v>2</v>
      </c>
      <c r="BU98" s="48">
        <f t="shared" si="312"/>
        <v>6.67</v>
      </c>
      <c r="BV98" s="29">
        <v>4</v>
      </c>
      <c r="BW98" s="29" t="s">
        <v>126</v>
      </c>
      <c r="BX98" s="29" t="s">
        <v>130</v>
      </c>
      <c r="BY98" s="50">
        <v>1</v>
      </c>
      <c r="BZ98" s="49">
        <v>1230</v>
      </c>
      <c r="CA98" s="29">
        <v>1480</v>
      </c>
      <c r="CB98" s="29">
        <f t="shared" si="313"/>
        <v>1.8204</v>
      </c>
      <c r="CC98" s="29">
        <v>31</v>
      </c>
      <c r="CD98" s="29">
        <v>29</v>
      </c>
      <c r="CE98" s="29">
        <v>33</v>
      </c>
      <c r="CF98" s="29">
        <v>33</v>
      </c>
      <c r="CG98" s="29">
        <f t="shared" si="314"/>
        <v>50.538343221270054</v>
      </c>
      <c r="CH98" s="50">
        <f t="shared" si="315"/>
        <v>0</v>
      </c>
      <c r="CI98" s="67">
        <f t="shared" si="305"/>
        <v>1150</v>
      </c>
      <c r="CJ98" s="69">
        <f t="shared" si="306"/>
        <v>0.92</v>
      </c>
      <c r="CK98" s="71">
        <f t="shared" si="296"/>
        <v>1</v>
      </c>
      <c r="CL98" s="49">
        <f t="shared" si="316"/>
        <v>4</v>
      </c>
      <c r="CM98" s="29">
        <f t="shared" si="317"/>
        <v>7</v>
      </c>
      <c r="CN98" s="29" t="str">
        <f t="shared" si="318"/>
        <v>C</v>
      </c>
      <c r="CO98" s="50">
        <f t="shared" si="319"/>
        <v>2</v>
      </c>
      <c r="CP98" s="195">
        <f t="shared" si="320"/>
        <v>4</v>
      </c>
      <c r="CQ98" s="29">
        <f t="shared" si="321"/>
        <v>5</v>
      </c>
      <c r="CR98" s="29" t="str">
        <f t="shared" si="322"/>
        <v>C</v>
      </c>
      <c r="CS98" s="194">
        <f t="shared" si="323"/>
        <v>1</v>
      </c>
      <c r="CT98" s="49">
        <f t="shared" si="324"/>
        <v>4</v>
      </c>
      <c r="CU98" s="29">
        <f t="shared" si="325"/>
        <v>4</v>
      </c>
      <c r="CV98" s="29" t="str">
        <f t="shared" si="326"/>
        <v>C</v>
      </c>
      <c r="CW98" s="50">
        <f t="shared" si="327"/>
        <v>1</v>
      </c>
      <c r="CX98" s="49">
        <f t="shared" si="328"/>
        <v>4</v>
      </c>
      <c r="CY98" s="29">
        <f t="shared" si="329"/>
        <v>4</v>
      </c>
      <c r="CZ98" s="29" t="str">
        <f t="shared" si="330"/>
        <v>B</v>
      </c>
      <c r="DA98" s="50">
        <f t="shared" si="331"/>
        <v>1</v>
      </c>
      <c r="DB98" s="49">
        <f t="shared" si="310"/>
        <v>4</v>
      </c>
      <c r="DC98" s="29" t="str">
        <f t="shared" si="311"/>
        <v>7A</v>
      </c>
      <c r="DD98" s="29" t="str">
        <f t="shared" si="332"/>
        <v>C</v>
      </c>
      <c r="DE98" s="29">
        <f t="shared" si="284"/>
        <v>2</v>
      </c>
      <c r="DF98" s="29">
        <f t="shared" si="333"/>
        <v>33</v>
      </c>
      <c r="DG98" s="47">
        <f t="shared" si="334"/>
        <v>2.2920940013043478</v>
      </c>
    </row>
    <row r="99" spans="3:111" ht="15" thickBot="1">
      <c r="C99" s="17" t="s">
        <v>135</v>
      </c>
      <c r="D99" s="10"/>
      <c r="L99" s="19"/>
      <c r="M99" s="19"/>
      <c r="N99" s="26" t="s">
        <v>132</v>
      </c>
      <c r="O99" s="41">
        <f t="shared" si="287"/>
        <v>1</v>
      </c>
      <c r="P99" s="36">
        <f t="shared" si="288"/>
        <v>0</v>
      </c>
      <c r="Q99" s="36">
        <f t="shared" si="289"/>
        <v>0</v>
      </c>
      <c r="R99" s="37" t="s">
        <v>21</v>
      </c>
      <c r="S99" s="37" t="str">
        <f t="shared" si="297"/>
        <v>BE</v>
      </c>
      <c r="T99" s="37">
        <f t="shared" si="291"/>
        <v>800</v>
      </c>
      <c r="U99" s="37">
        <f t="shared" si="292"/>
        <v>1150</v>
      </c>
      <c r="V99" s="97">
        <f t="shared" si="293"/>
        <v>0.92</v>
      </c>
      <c r="W99" s="37">
        <v>113.5</v>
      </c>
      <c r="X99" s="37">
        <v>91</v>
      </c>
      <c r="Y99" s="37">
        <v>163</v>
      </c>
      <c r="Z99" s="102">
        <f t="shared" si="294"/>
        <v>1.33</v>
      </c>
      <c r="AA99" s="110">
        <v>3.8</v>
      </c>
      <c r="AB99" s="56">
        <v>6</v>
      </c>
      <c r="AC99" s="111">
        <v>3.5</v>
      </c>
      <c r="AD99" s="110">
        <v>3.6</v>
      </c>
      <c r="AE99" s="56">
        <v>5.5</v>
      </c>
      <c r="AF99" s="111">
        <v>3.5</v>
      </c>
      <c r="AG99" s="105">
        <f t="shared" si="245"/>
        <v>3.6</v>
      </c>
      <c r="AH99" s="37">
        <f t="shared" si="246"/>
        <v>5.5</v>
      </c>
      <c r="AI99" s="102">
        <f t="shared" si="247"/>
        <v>3.5</v>
      </c>
      <c r="AJ99" s="38">
        <f t="shared" si="298"/>
        <v>0.5288790000000001</v>
      </c>
      <c r="AK99" s="38">
        <f t="shared" si="299"/>
        <v>0.391121</v>
      </c>
      <c r="AL99" s="38">
        <f t="shared" si="300"/>
        <v>0</v>
      </c>
      <c r="AM99" s="38">
        <f t="shared" si="301"/>
        <v>0</v>
      </c>
      <c r="AN99" s="38">
        <f t="shared" si="302"/>
        <v>2.2950485543478258</v>
      </c>
      <c r="AO99" s="39">
        <f t="shared" si="303"/>
        <v>0.08</v>
      </c>
      <c r="AP99" s="92">
        <f t="shared" si="304"/>
        <v>0.26017391304347826</v>
      </c>
      <c r="AQ99" s="94">
        <f t="shared" si="295"/>
        <v>2.2950485543478258</v>
      </c>
      <c r="AR99" s="1">
        <f t="shared" si="255"/>
        <v>3</v>
      </c>
      <c r="AT99" s="49">
        <v>2000</v>
      </c>
      <c r="AU99" s="29">
        <v>1500</v>
      </c>
      <c r="AV99" s="29">
        <v>2</v>
      </c>
      <c r="AW99" s="48">
        <f t="shared" si="307"/>
        <v>3</v>
      </c>
      <c r="AX99" s="29">
        <v>3</v>
      </c>
      <c r="AY99" s="29" t="s">
        <v>129</v>
      </c>
      <c r="AZ99" s="29" t="s">
        <v>81</v>
      </c>
      <c r="BA99" s="50">
        <v>1</v>
      </c>
      <c r="BB99" s="49">
        <v>2900</v>
      </c>
      <c r="BC99" s="29">
        <v>2100</v>
      </c>
      <c r="BD99" s="29">
        <v>3</v>
      </c>
      <c r="BE99" s="48">
        <f t="shared" si="308"/>
        <v>6.09</v>
      </c>
      <c r="BF99" s="29">
        <v>3</v>
      </c>
      <c r="BG99" s="29" t="s">
        <v>133</v>
      </c>
      <c r="BH99" s="29" t="s">
        <v>81</v>
      </c>
      <c r="BI99" s="50">
        <v>1</v>
      </c>
      <c r="BJ99" s="49">
        <v>2900</v>
      </c>
      <c r="BK99" s="29">
        <v>2100</v>
      </c>
      <c r="BL99" s="29">
        <v>4</v>
      </c>
      <c r="BM99" s="48">
        <f t="shared" si="309"/>
        <v>6.09</v>
      </c>
      <c r="BN99" s="29">
        <v>3</v>
      </c>
      <c r="BO99" s="29" t="s">
        <v>126</v>
      </c>
      <c r="BP99" s="29" t="s">
        <v>81</v>
      </c>
      <c r="BQ99" s="50">
        <v>1</v>
      </c>
      <c r="BR99" s="49">
        <v>2900</v>
      </c>
      <c r="BS99" s="29">
        <v>2300</v>
      </c>
      <c r="BT99" s="29">
        <v>2</v>
      </c>
      <c r="BU99" s="48">
        <f t="shared" si="312"/>
        <v>6.67</v>
      </c>
      <c r="BV99" s="29">
        <v>3</v>
      </c>
      <c r="BW99" s="29" t="s">
        <v>134</v>
      </c>
      <c r="BX99" s="29" t="s">
        <v>130</v>
      </c>
      <c r="BY99" s="50">
        <v>1</v>
      </c>
      <c r="BZ99" s="49">
        <v>1230</v>
      </c>
      <c r="CA99" s="29">
        <v>1480</v>
      </c>
      <c r="CB99" s="29">
        <f t="shared" si="313"/>
        <v>1.8204</v>
      </c>
      <c r="CC99" s="29">
        <v>31</v>
      </c>
      <c r="CD99" s="29">
        <v>29</v>
      </c>
      <c r="CE99" s="29">
        <v>32</v>
      </c>
      <c r="CF99" s="29">
        <v>33</v>
      </c>
      <c r="CG99" s="29">
        <f t="shared" si="314"/>
        <v>50.538343221270054</v>
      </c>
      <c r="CH99" s="50">
        <f t="shared" si="315"/>
        <v>0</v>
      </c>
      <c r="CI99" s="67">
        <f t="shared" si="305"/>
        <v>1150</v>
      </c>
      <c r="CJ99" s="69">
        <f t="shared" si="306"/>
        <v>0.92</v>
      </c>
      <c r="CK99" s="71">
        <f t="shared" si="296"/>
        <v>1</v>
      </c>
      <c r="CL99" s="49">
        <f t="shared" si="316"/>
        <v>3</v>
      </c>
      <c r="CM99" s="29">
        <f t="shared" si="317"/>
        <v>5</v>
      </c>
      <c r="CN99" s="29" t="str">
        <f t="shared" si="318"/>
        <v>C</v>
      </c>
      <c r="CO99" s="50">
        <f t="shared" si="319"/>
        <v>1</v>
      </c>
      <c r="CP99" s="195">
        <f t="shared" si="320"/>
        <v>3</v>
      </c>
      <c r="CQ99" s="29">
        <f t="shared" si="321"/>
        <v>2</v>
      </c>
      <c r="CR99" s="29" t="str">
        <f t="shared" si="322"/>
        <v>C</v>
      </c>
      <c r="CS99" s="194">
        <f t="shared" si="323"/>
        <v>1</v>
      </c>
      <c r="CT99" s="49">
        <f t="shared" si="324"/>
        <v>3</v>
      </c>
      <c r="CU99" s="29">
        <f t="shared" si="325"/>
        <v>4</v>
      </c>
      <c r="CV99" s="29" t="str">
        <f t="shared" si="326"/>
        <v>C</v>
      </c>
      <c r="CW99" s="50">
        <f t="shared" si="327"/>
        <v>1</v>
      </c>
      <c r="CX99" s="49">
        <f t="shared" si="328"/>
        <v>3</v>
      </c>
      <c r="CY99" s="29">
        <f t="shared" si="329"/>
        <v>3</v>
      </c>
      <c r="CZ99" s="29" t="str">
        <f t="shared" si="330"/>
        <v>B</v>
      </c>
      <c r="DA99" s="50">
        <f t="shared" si="331"/>
        <v>1</v>
      </c>
      <c r="DB99" s="49">
        <f t="shared" si="310"/>
        <v>3</v>
      </c>
      <c r="DC99" s="29" t="str">
        <f t="shared" si="311"/>
        <v>5A</v>
      </c>
      <c r="DD99" s="29" t="str">
        <f t="shared" si="332"/>
        <v>C</v>
      </c>
      <c r="DE99" s="29">
        <f t="shared" si="284"/>
        <v>1</v>
      </c>
      <c r="DF99" s="29">
        <f t="shared" si="333"/>
        <v>32</v>
      </c>
      <c r="DG99" s="47">
        <f t="shared" si="334"/>
        <v>2.2950485543478258</v>
      </c>
    </row>
    <row r="100" spans="3:111" hidden="1">
      <c r="C100" s="1"/>
      <c r="N100" s="117" t="s">
        <v>136</v>
      </c>
      <c r="O100" s="41">
        <f t="shared" si="287"/>
        <v>1</v>
      </c>
      <c r="P100" s="36">
        <f t="shared" si="288"/>
        <v>0</v>
      </c>
      <c r="Q100" s="36">
        <f t="shared" si="289"/>
        <v>0</v>
      </c>
      <c r="R100" s="37" t="s">
        <v>21</v>
      </c>
      <c r="S100" s="37" t="str">
        <f t="shared" si="297"/>
        <v>BE</v>
      </c>
      <c r="T100" s="37">
        <f t="shared" si="291"/>
        <v>800</v>
      </c>
      <c r="U100" s="37">
        <f t="shared" si="292"/>
        <v>1150</v>
      </c>
      <c r="V100" s="97">
        <f t="shared" si="293"/>
        <v>0.92</v>
      </c>
      <c r="W100" s="118">
        <v>115.6</v>
      </c>
      <c r="X100" s="118">
        <v>26</v>
      </c>
      <c r="Y100" s="118">
        <v>163</v>
      </c>
      <c r="Z100" s="102">
        <f t="shared" si="294"/>
        <v>1.33</v>
      </c>
      <c r="AA100" s="120">
        <v>3.7</v>
      </c>
      <c r="AB100" s="121">
        <v>4.0999999999999996</v>
      </c>
      <c r="AC100" s="122">
        <v>4.0999999999999996</v>
      </c>
      <c r="AD100" s="120">
        <v>3.3</v>
      </c>
      <c r="AE100" s="121">
        <v>3.5</v>
      </c>
      <c r="AF100" s="122">
        <v>3.5</v>
      </c>
      <c r="AG100" s="123">
        <f t="shared" si="245"/>
        <v>3.3</v>
      </c>
      <c r="AH100" s="118">
        <f t="shared" si="246"/>
        <v>3.5</v>
      </c>
      <c r="AI100" s="119">
        <f t="shared" si="247"/>
        <v>3.5</v>
      </c>
      <c r="AJ100" s="38">
        <f t="shared" si="298"/>
        <v>0.52261343999999998</v>
      </c>
      <c r="AK100" s="38">
        <f t="shared" si="299"/>
        <v>0.39738656000000006</v>
      </c>
      <c r="AL100" s="38">
        <f t="shared" si="300"/>
        <v>0</v>
      </c>
      <c r="AM100" s="38">
        <f t="shared" si="301"/>
        <v>0</v>
      </c>
      <c r="AN100" s="38">
        <f t="shared" si="302"/>
        <v>2.1809255686956521</v>
      </c>
      <c r="AO100" s="39">
        <f t="shared" si="303"/>
        <v>0.08</v>
      </c>
      <c r="AP100" s="92">
        <f t="shared" si="304"/>
        <v>0.25871304347826085</v>
      </c>
      <c r="AQ100" s="94">
        <f t="shared" si="295"/>
        <v>2.1809255686956521</v>
      </c>
      <c r="AR100" s="1">
        <f t="shared" si="255"/>
        <v>3</v>
      </c>
      <c r="AT100" s="49">
        <v>2000</v>
      </c>
      <c r="AU100" s="29">
        <v>1500</v>
      </c>
      <c r="AV100" s="29">
        <v>2</v>
      </c>
      <c r="AW100" s="48">
        <f t="shared" si="307"/>
        <v>3</v>
      </c>
      <c r="AX100" s="29">
        <v>3</v>
      </c>
      <c r="AY100" s="29" t="s">
        <v>129</v>
      </c>
      <c r="AZ100" s="29" t="s">
        <v>81</v>
      </c>
      <c r="BA100" s="50">
        <v>4</v>
      </c>
      <c r="BB100" s="49">
        <v>2900</v>
      </c>
      <c r="BC100" s="29">
        <v>2100</v>
      </c>
      <c r="BD100" s="29">
        <v>3</v>
      </c>
      <c r="BE100" s="48">
        <f t="shared" si="308"/>
        <v>6.09</v>
      </c>
      <c r="BF100" s="29">
        <v>3</v>
      </c>
      <c r="BG100" s="29" t="s">
        <v>129</v>
      </c>
      <c r="BH100" s="29" t="s">
        <v>81</v>
      </c>
      <c r="BI100" s="50">
        <v>1</v>
      </c>
      <c r="BJ100" s="49">
        <v>2900</v>
      </c>
      <c r="BK100" s="29">
        <v>2100</v>
      </c>
      <c r="BL100" s="29">
        <v>4</v>
      </c>
      <c r="BM100" s="48">
        <f t="shared" si="309"/>
        <v>6.09</v>
      </c>
      <c r="BN100" s="29">
        <v>3</v>
      </c>
      <c r="BO100" s="29" t="s">
        <v>126</v>
      </c>
      <c r="BP100" s="29" t="s">
        <v>81</v>
      </c>
      <c r="BQ100" s="50">
        <v>1</v>
      </c>
      <c r="BR100" s="49">
        <v>2900</v>
      </c>
      <c r="BS100" s="29">
        <v>2300</v>
      </c>
      <c r="BT100" s="29">
        <v>2</v>
      </c>
      <c r="BU100" s="48">
        <f t="shared" si="312"/>
        <v>6.67</v>
      </c>
      <c r="BV100" s="29">
        <v>3</v>
      </c>
      <c r="BW100" s="29" t="s">
        <v>126</v>
      </c>
      <c r="BX100" s="29" t="s">
        <v>130</v>
      </c>
      <c r="BY100" s="50">
        <v>1</v>
      </c>
      <c r="BZ100" s="49">
        <v>1400</v>
      </c>
      <c r="CA100" s="29">
        <v>1500</v>
      </c>
      <c r="CB100" s="29">
        <f t="shared" si="313"/>
        <v>2.1</v>
      </c>
      <c r="CC100" s="29">
        <v>31</v>
      </c>
      <c r="CD100" s="29">
        <v>29</v>
      </c>
      <c r="CE100" s="29">
        <v>33</v>
      </c>
      <c r="CF100" s="29">
        <v>33</v>
      </c>
      <c r="CG100" s="29">
        <f t="shared" si="314"/>
        <v>43.80952380952381</v>
      </c>
      <c r="CH100" s="50">
        <f t="shared" si="315"/>
        <v>0</v>
      </c>
      <c r="CI100" s="67">
        <f t="shared" si="305"/>
        <v>1150</v>
      </c>
      <c r="CJ100" s="69">
        <f t="shared" si="306"/>
        <v>0.92</v>
      </c>
      <c r="CK100" s="71">
        <f t="shared" si="296"/>
        <v>1</v>
      </c>
      <c r="CL100" s="49">
        <f t="shared" si="316"/>
        <v>3</v>
      </c>
      <c r="CM100" s="29">
        <f t="shared" si="317"/>
        <v>5</v>
      </c>
      <c r="CN100" s="29" t="str">
        <f t="shared" si="318"/>
        <v>C</v>
      </c>
      <c r="CO100" s="50">
        <f t="shared" si="319"/>
        <v>4</v>
      </c>
      <c r="CP100" s="195">
        <f t="shared" si="320"/>
        <v>3</v>
      </c>
      <c r="CQ100" s="29">
        <f t="shared" si="321"/>
        <v>5</v>
      </c>
      <c r="CR100" s="29" t="str">
        <f t="shared" si="322"/>
        <v>C</v>
      </c>
      <c r="CS100" s="194">
        <f t="shared" si="323"/>
        <v>1</v>
      </c>
      <c r="CT100" s="49">
        <f t="shared" si="324"/>
        <v>3</v>
      </c>
      <c r="CU100" s="29">
        <f t="shared" si="325"/>
        <v>4</v>
      </c>
      <c r="CV100" s="29" t="str">
        <f t="shared" si="326"/>
        <v>C</v>
      </c>
      <c r="CW100" s="50">
        <f t="shared" si="327"/>
        <v>1</v>
      </c>
      <c r="CX100" s="49">
        <f t="shared" si="328"/>
        <v>3</v>
      </c>
      <c r="CY100" s="29">
        <f t="shared" si="329"/>
        <v>4</v>
      </c>
      <c r="CZ100" s="29" t="str">
        <f t="shared" si="330"/>
        <v>B</v>
      </c>
      <c r="DA100" s="50">
        <f t="shared" si="331"/>
        <v>1</v>
      </c>
      <c r="DB100" s="49">
        <f t="shared" si="310"/>
        <v>3</v>
      </c>
      <c r="DC100" s="29" t="str">
        <f t="shared" si="311"/>
        <v>5A</v>
      </c>
      <c r="DD100" s="29" t="str">
        <f t="shared" si="332"/>
        <v>C</v>
      </c>
      <c r="DE100" s="29">
        <f t="shared" si="284"/>
        <v>4</v>
      </c>
      <c r="DF100" s="29">
        <f t="shared" si="333"/>
        <v>33</v>
      </c>
      <c r="DG100" s="47">
        <f t="shared" si="334"/>
        <v>2.1809255686956521</v>
      </c>
    </row>
    <row r="101" spans="3:111" hidden="1">
      <c r="C101" s="124"/>
      <c r="D101" s="125"/>
      <c r="J101"/>
      <c r="K101"/>
      <c r="N101" s="117" t="s">
        <v>137</v>
      </c>
      <c r="O101" s="41">
        <f>+$D$10</f>
        <v>1</v>
      </c>
      <c r="P101" s="36">
        <f>+H$19</f>
        <v>0</v>
      </c>
      <c r="Q101" s="36">
        <f>+I$19</f>
        <v>0</v>
      </c>
      <c r="R101" s="37" t="s">
        <v>21</v>
      </c>
      <c r="S101" s="37" t="str">
        <f>+IF(I$9="N","N","BE")</f>
        <v>BE</v>
      </c>
      <c r="T101" s="37">
        <f>+$D$13</f>
        <v>1400</v>
      </c>
      <c r="U101" s="37">
        <f>+$D$14</f>
        <v>2150</v>
      </c>
      <c r="V101" s="97">
        <f>+T101*U101/1000000</f>
        <v>3.01</v>
      </c>
      <c r="W101" s="118">
        <v>111.1</v>
      </c>
      <c r="X101" s="118">
        <v>36.799999999999997</v>
      </c>
      <c r="Y101" s="118">
        <v>154.6</v>
      </c>
      <c r="Z101" s="102">
        <f>+$D$21</f>
        <v>1.1000000000000001</v>
      </c>
      <c r="AA101" s="120">
        <v>3.5</v>
      </c>
      <c r="AB101" s="121">
        <v>6</v>
      </c>
      <c r="AC101" s="122">
        <v>3.5</v>
      </c>
      <c r="AD101" s="120">
        <v>3.5</v>
      </c>
      <c r="AE101" s="121">
        <v>6</v>
      </c>
      <c r="AF101" s="122">
        <v>3.5</v>
      </c>
      <c r="AG101" s="123">
        <f t="shared" ref="AG101:AI102" si="335">+IF($D$12="SI",AD101,AA101)</f>
        <v>3.5</v>
      </c>
      <c r="AH101" s="118">
        <f t="shared" si="335"/>
        <v>6</v>
      </c>
      <c r="AI101" s="119">
        <f t="shared" si="335"/>
        <v>3.5</v>
      </c>
      <c r="AJ101" s="38">
        <f>+(T101*U101)/1000000-AK101-AL101-AM101</f>
        <v>2.2705628399999997</v>
      </c>
      <c r="AK101" s="38">
        <f>+(T101*U101-(T101-2*W101)*(U101-2*W101))/1000000</f>
        <v>0.73943716000000015</v>
      </c>
      <c r="AL101" s="38">
        <f>+(U101-2*W101)/1000000*X101*P101</f>
        <v>0</v>
      </c>
      <c r="AM101" s="38">
        <f>+(U101-2*W101)/1000000*Y101*Q101</f>
        <v>0</v>
      </c>
      <c r="AN101" s="38">
        <f>+(Z101*AJ101+AG101*AK101+AL101*AH101+AI101*AM101)/(AJ101+AK101+AL101+AM101)</f>
        <v>1.6895844465116281</v>
      </c>
      <c r="AO101" s="39">
        <f>+IF(R101="NO",0,IF(S101="BE",0.08,0.06))</f>
        <v>0.08</v>
      </c>
      <c r="AP101" s="92">
        <f>+AO101*((T101-2*W101-P101*X101-Q101*Y101)/1000*2+(U101-2*W101)/1000*2*(P101+Q101+1))/(AJ101+AK101+AL101+AM101)</f>
        <v>0.16508172757475084</v>
      </c>
      <c r="AQ101" s="94">
        <f t="shared" si="295"/>
        <v>1.6895844465116281</v>
      </c>
      <c r="AR101" s="1">
        <f t="shared" si="255"/>
        <v>3</v>
      </c>
      <c r="AT101" s="73"/>
      <c r="AU101" s="75"/>
      <c r="AV101" s="75"/>
      <c r="AW101" s="48"/>
      <c r="AX101" s="75"/>
      <c r="AY101" s="75"/>
      <c r="AZ101" s="75"/>
      <c r="BA101" s="76"/>
      <c r="BB101" s="73"/>
      <c r="BC101" s="75"/>
      <c r="BD101" s="75"/>
      <c r="BE101" s="48"/>
      <c r="BF101" s="75"/>
      <c r="BG101" s="75"/>
      <c r="BH101" s="75"/>
      <c r="BI101" s="76"/>
      <c r="BJ101" s="73"/>
      <c r="BK101" s="75"/>
      <c r="BL101" s="75"/>
      <c r="BM101" s="48"/>
      <c r="BN101" s="75"/>
      <c r="BO101" s="75"/>
      <c r="BP101" s="75"/>
      <c r="BQ101" s="76"/>
      <c r="BR101" s="73">
        <v>2900</v>
      </c>
      <c r="BS101" s="75">
        <v>2100</v>
      </c>
      <c r="BT101" s="75">
        <v>2</v>
      </c>
      <c r="BU101" s="48">
        <f t="shared" si="312"/>
        <v>6.09</v>
      </c>
      <c r="BV101" s="75">
        <v>3</v>
      </c>
      <c r="BW101" s="75" t="s">
        <v>82</v>
      </c>
      <c r="BX101" s="75" t="s">
        <v>81</v>
      </c>
      <c r="BY101" s="76">
        <v>1</v>
      </c>
      <c r="BZ101" s="49">
        <v>1400</v>
      </c>
      <c r="CA101" s="29">
        <v>1500</v>
      </c>
      <c r="CB101" s="29">
        <f t="shared" si="313"/>
        <v>2.1</v>
      </c>
      <c r="CC101" s="29">
        <v>31</v>
      </c>
      <c r="CD101" s="29">
        <v>29</v>
      </c>
      <c r="CE101" s="29">
        <v>33</v>
      </c>
      <c r="CF101" s="29">
        <v>33</v>
      </c>
      <c r="CG101" s="29">
        <f t="shared" si="314"/>
        <v>143.33333333333331</v>
      </c>
      <c r="CH101" s="50">
        <f t="shared" si="315"/>
        <v>0</v>
      </c>
      <c r="CI101" s="67">
        <f t="shared" ref="CI101:CJ103" si="336">+U101</f>
        <v>2150</v>
      </c>
      <c r="CJ101" s="69">
        <f t="shared" si="336"/>
        <v>3.01</v>
      </c>
      <c r="CK101" s="71">
        <f t="shared" si="296"/>
        <v>1</v>
      </c>
      <c r="CL101" s="49" t="str">
        <f t="shared" si="316"/>
        <v>0</v>
      </c>
      <c r="CM101" s="29">
        <f t="shared" si="317"/>
        <v>0</v>
      </c>
      <c r="CN101" s="29" t="str">
        <f t="shared" si="318"/>
        <v>0</v>
      </c>
      <c r="CO101" s="50" t="str">
        <f t="shared" si="319"/>
        <v>0</v>
      </c>
      <c r="CP101" s="195" t="str">
        <f t="shared" si="320"/>
        <v>0</v>
      </c>
      <c r="CQ101" s="29">
        <f t="shared" si="321"/>
        <v>0</v>
      </c>
      <c r="CR101" s="29" t="str">
        <f t="shared" si="322"/>
        <v>0</v>
      </c>
      <c r="CS101" s="194" t="str">
        <f t="shared" si="323"/>
        <v>0</v>
      </c>
      <c r="CT101" s="49" t="str">
        <f t="shared" si="324"/>
        <v>0</v>
      </c>
      <c r="CU101" s="29">
        <f t="shared" si="325"/>
        <v>0</v>
      </c>
      <c r="CV101" s="29" t="str">
        <f t="shared" si="326"/>
        <v>0</v>
      </c>
      <c r="CW101" s="50" t="str">
        <f t="shared" si="327"/>
        <v>0</v>
      </c>
      <c r="CX101" s="49">
        <f t="shared" si="328"/>
        <v>3</v>
      </c>
      <c r="CY101" s="29">
        <f t="shared" si="329"/>
        <v>7</v>
      </c>
      <c r="CZ101" s="29" t="str">
        <f t="shared" si="330"/>
        <v>0</v>
      </c>
      <c r="DA101" s="50" t="str">
        <f t="shared" si="331"/>
        <v>0</v>
      </c>
      <c r="DB101" s="49">
        <f t="shared" si="310"/>
        <v>3</v>
      </c>
      <c r="DC101" s="29" t="str">
        <f t="shared" si="311"/>
        <v>7A</v>
      </c>
      <c r="DD101" s="29" t="str">
        <f t="shared" si="332"/>
        <v>A</v>
      </c>
      <c r="DE101" s="29" t="str">
        <f t="shared" si="284"/>
        <v>1</v>
      </c>
      <c r="DF101" s="29">
        <f t="shared" si="333"/>
        <v>33</v>
      </c>
      <c r="DG101" s="47">
        <f t="shared" si="334"/>
        <v>1.6895844465116281</v>
      </c>
    </row>
    <row r="102" spans="3:111" hidden="1">
      <c r="D102" s="99"/>
      <c r="J102"/>
      <c r="K102"/>
      <c r="N102" s="117" t="s">
        <v>138</v>
      </c>
      <c r="O102" s="41">
        <f>+$D$10</f>
        <v>1</v>
      </c>
      <c r="P102" s="36">
        <f>+H$19</f>
        <v>0</v>
      </c>
      <c r="Q102" s="36">
        <f>+I$19</f>
        <v>0</v>
      </c>
      <c r="R102" s="37" t="s">
        <v>21</v>
      </c>
      <c r="S102" s="37" t="str">
        <f>+IF(I$9="N","N","BE")</f>
        <v>BE</v>
      </c>
      <c r="T102" s="37">
        <f>+$D$13</f>
        <v>1400</v>
      </c>
      <c r="U102" s="37">
        <f>+$D$14</f>
        <v>2150</v>
      </c>
      <c r="V102" s="97">
        <f>+T102*U102/1000000</f>
        <v>3.01</v>
      </c>
      <c r="W102" s="118">
        <v>78</v>
      </c>
      <c r="X102" s="118">
        <v>32</v>
      </c>
      <c r="Y102" s="118">
        <v>32</v>
      </c>
      <c r="Z102" s="102">
        <f>+$D$21</f>
        <v>1.1000000000000001</v>
      </c>
      <c r="AA102" s="120">
        <v>3.7</v>
      </c>
      <c r="AB102" s="121">
        <v>4.0999999999999996</v>
      </c>
      <c r="AC102" s="122">
        <v>4.0999999999999996</v>
      </c>
      <c r="AD102" s="120">
        <v>3.3</v>
      </c>
      <c r="AE102" s="121">
        <v>3.5</v>
      </c>
      <c r="AF102" s="122">
        <v>3.5</v>
      </c>
      <c r="AG102" s="123">
        <f t="shared" si="335"/>
        <v>3.3</v>
      </c>
      <c r="AH102" s="118">
        <f t="shared" si="335"/>
        <v>3.5</v>
      </c>
      <c r="AI102" s="119">
        <f t="shared" si="335"/>
        <v>3.5</v>
      </c>
      <c r="AJ102" s="38">
        <f>+(T102*U102)/1000000-AK102-AL102-AM102</f>
        <v>2.4805359999999999</v>
      </c>
      <c r="AK102" s="38">
        <f>+(T102*U102-(T102-2*W102)*(U102-2*W102))/1000000</f>
        <v>0.52946400000000005</v>
      </c>
      <c r="AL102" s="38">
        <f>+(U102-2*W102)/1000000*X102*P102</f>
        <v>0</v>
      </c>
      <c r="AM102" s="38">
        <f>+(U102-2*W102)/1000000*Y102*Q102</f>
        <v>0</v>
      </c>
      <c r="AN102" s="38">
        <f>+(Z102*AJ102+AG102*AK102+AL102*AH102+AI102*AM102)/(AJ102+AK102+AL102+AM102)</f>
        <v>1.4869836544850501</v>
      </c>
      <c r="AO102" s="39">
        <v>0.03</v>
      </c>
      <c r="AP102" s="92">
        <f>+AO102*((T102-2*W102-P102*X102-Q102*Y102)/1000*2+(U102-2*W102)/1000*2*(P102+Q102+1))/(AJ102+AK102+AL102+AM102)</f>
        <v>6.4544850498338871E-2</v>
      </c>
      <c r="AQ102" s="94">
        <f t="shared" si="295"/>
        <v>1.4869836544850501</v>
      </c>
      <c r="AR102" s="1">
        <f t="shared" si="255"/>
        <v>3</v>
      </c>
      <c r="AT102" s="73"/>
      <c r="AU102" s="75"/>
      <c r="AV102" s="75"/>
      <c r="AW102" s="48">
        <f>+AT102*AU102/1000000</f>
        <v>0</v>
      </c>
      <c r="AX102" s="75"/>
      <c r="AY102" s="75"/>
      <c r="AZ102" s="75"/>
      <c r="BA102" s="76"/>
      <c r="BB102" s="73"/>
      <c r="BC102" s="75"/>
      <c r="BD102" s="75"/>
      <c r="BE102" s="48">
        <f>+BB102*BC102/1000000</f>
        <v>0</v>
      </c>
      <c r="BF102" s="75"/>
      <c r="BG102" s="75"/>
      <c r="BH102" s="75"/>
      <c r="BI102" s="76"/>
      <c r="BJ102" s="73"/>
      <c r="BK102" s="75"/>
      <c r="BL102" s="75"/>
      <c r="BM102" s="48">
        <f>+BJ102*BK102/1000000</f>
        <v>0</v>
      </c>
      <c r="BN102" s="75"/>
      <c r="BO102" s="75"/>
      <c r="BP102" s="75"/>
      <c r="BQ102" s="76"/>
      <c r="BR102" s="73">
        <v>2900</v>
      </c>
      <c r="BS102" s="75">
        <v>2100</v>
      </c>
      <c r="BT102" s="75">
        <v>2</v>
      </c>
      <c r="BU102" s="48">
        <f t="shared" si="312"/>
        <v>6.09</v>
      </c>
      <c r="BV102" s="75">
        <v>3</v>
      </c>
      <c r="BW102" s="75" t="s">
        <v>82</v>
      </c>
      <c r="BX102" s="75" t="s">
        <v>81</v>
      </c>
      <c r="BY102" s="76">
        <v>1</v>
      </c>
      <c r="BZ102" s="49">
        <v>1400</v>
      </c>
      <c r="CA102" s="29">
        <v>1500</v>
      </c>
      <c r="CB102" s="29">
        <f t="shared" si="313"/>
        <v>2.1</v>
      </c>
      <c r="CC102" s="29">
        <v>31</v>
      </c>
      <c r="CD102" s="29">
        <v>29</v>
      </c>
      <c r="CE102" s="29">
        <v>33</v>
      </c>
      <c r="CF102" s="29">
        <v>33</v>
      </c>
      <c r="CG102" s="29">
        <f t="shared" si="314"/>
        <v>143.33333333333331</v>
      </c>
      <c r="CH102" s="50">
        <f t="shared" si="315"/>
        <v>0</v>
      </c>
      <c r="CI102" s="67">
        <f t="shared" si="336"/>
        <v>2150</v>
      </c>
      <c r="CJ102" s="69">
        <f t="shared" si="336"/>
        <v>3.01</v>
      </c>
      <c r="CK102" s="71">
        <f t="shared" si="296"/>
        <v>1</v>
      </c>
      <c r="CL102" s="49" t="str">
        <f t="shared" si="316"/>
        <v>0</v>
      </c>
      <c r="CM102" s="29">
        <f t="shared" si="317"/>
        <v>0</v>
      </c>
      <c r="CN102" s="29" t="str">
        <f t="shared" si="318"/>
        <v>0</v>
      </c>
      <c r="CO102" s="50" t="str">
        <f t="shared" si="319"/>
        <v>0</v>
      </c>
      <c r="CP102" s="195" t="str">
        <f t="shared" si="320"/>
        <v>0</v>
      </c>
      <c r="CQ102" s="29">
        <f t="shared" si="321"/>
        <v>0</v>
      </c>
      <c r="CR102" s="29" t="str">
        <f t="shared" si="322"/>
        <v>0</v>
      </c>
      <c r="CS102" s="194" t="str">
        <f t="shared" si="323"/>
        <v>0</v>
      </c>
      <c r="CT102" s="49" t="str">
        <f t="shared" si="324"/>
        <v>0</v>
      </c>
      <c r="CU102" s="29">
        <f t="shared" si="325"/>
        <v>0</v>
      </c>
      <c r="CV102" s="29" t="str">
        <f t="shared" si="326"/>
        <v>0</v>
      </c>
      <c r="CW102" s="50" t="str">
        <f t="shared" si="327"/>
        <v>0</v>
      </c>
      <c r="CX102" s="49">
        <f t="shared" si="328"/>
        <v>3</v>
      </c>
      <c r="CY102" s="29">
        <f t="shared" si="329"/>
        <v>7</v>
      </c>
      <c r="CZ102" s="29" t="str">
        <f t="shared" si="330"/>
        <v>0</v>
      </c>
      <c r="DA102" s="50" t="str">
        <f t="shared" si="331"/>
        <v>0</v>
      </c>
      <c r="DB102" s="49">
        <f t="shared" si="310"/>
        <v>3</v>
      </c>
      <c r="DC102" s="29" t="str">
        <f t="shared" si="311"/>
        <v>7A</v>
      </c>
      <c r="DD102" s="29" t="str">
        <f t="shared" si="332"/>
        <v>A</v>
      </c>
      <c r="DE102" s="29" t="str">
        <f t="shared" si="284"/>
        <v>1</v>
      </c>
      <c r="DF102" s="29">
        <f t="shared" si="333"/>
        <v>33</v>
      </c>
      <c r="DG102" s="47">
        <f t="shared" si="334"/>
        <v>1.4869836544850501</v>
      </c>
    </row>
    <row r="103" spans="3:111" ht="15" thickBot="1">
      <c r="C103" s="1"/>
      <c r="N103" s="27" t="s">
        <v>139</v>
      </c>
      <c r="O103" s="42">
        <f t="shared" si="287"/>
        <v>1</v>
      </c>
      <c r="P103" s="43">
        <f t="shared" si="288"/>
        <v>0</v>
      </c>
      <c r="Q103" s="43">
        <f t="shared" si="289"/>
        <v>0</v>
      </c>
      <c r="R103" s="44" t="s">
        <v>21</v>
      </c>
      <c r="S103" s="44" t="str">
        <f t="shared" si="297"/>
        <v>BE</v>
      </c>
      <c r="T103" s="44">
        <f t="shared" si="291"/>
        <v>800</v>
      </c>
      <c r="U103" s="44">
        <f t="shared" si="292"/>
        <v>1150</v>
      </c>
      <c r="V103" s="98">
        <f t="shared" si="293"/>
        <v>0.92</v>
      </c>
      <c r="W103" s="44">
        <v>140</v>
      </c>
      <c r="X103" s="44">
        <v>110</v>
      </c>
      <c r="Y103" s="44"/>
      <c r="Z103" s="103">
        <f t="shared" si="294"/>
        <v>1.33</v>
      </c>
      <c r="AA103" s="115">
        <v>3.9</v>
      </c>
      <c r="AB103" s="57">
        <v>3.9</v>
      </c>
      <c r="AC103" s="116"/>
      <c r="AD103" s="115">
        <v>3.9</v>
      </c>
      <c r="AE103" s="57">
        <v>7</v>
      </c>
      <c r="AF103" s="116"/>
      <c r="AG103" s="106">
        <f t="shared" si="245"/>
        <v>3.9</v>
      </c>
      <c r="AH103" s="44">
        <f t="shared" si="246"/>
        <v>7</v>
      </c>
      <c r="AI103" s="103">
        <f t="shared" si="247"/>
        <v>0</v>
      </c>
      <c r="AJ103" s="45">
        <f t="shared" si="298"/>
        <v>0.45240000000000002</v>
      </c>
      <c r="AK103" s="45">
        <f t="shared" si="299"/>
        <v>0.46760000000000002</v>
      </c>
      <c r="AL103" s="45">
        <f t="shared" si="300"/>
        <v>0</v>
      </c>
      <c r="AM103" s="45">
        <f t="shared" si="301"/>
        <v>0</v>
      </c>
      <c r="AN103" s="45">
        <f t="shared" si="302"/>
        <v>2.6362304347826084</v>
      </c>
      <c r="AO103" s="46">
        <v>3.1E-2</v>
      </c>
      <c r="AP103" s="93">
        <f t="shared" si="304"/>
        <v>9.367391304347826E-2</v>
      </c>
      <c r="AQ103" s="100">
        <f t="shared" si="295"/>
        <v>2.6362304347826084</v>
      </c>
      <c r="AR103" s="1">
        <f t="shared" si="255"/>
        <v>4</v>
      </c>
      <c r="AT103" s="51"/>
      <c r="AU103" s="52"/>
      <c r="AV103" s="52"/>
      <c r="AW103" s="54">
        <f>+AT103*AU103/1000000</f>
        <v>0</v>
      </c>
      <c r="AX103" s="52"/>
      <c r="AY103" s="52"/>
      <c r="AZ103" s="52"/>
      <c r="BA103" s="53"/>
      <c r="BB103" s="51"/>
      <c r="BC103" s="52"/>
      <c r="BD103" s="52"/>
      <c r="BE103" s="54">
        <f>+BB103*BC103/1000000</f>
        <v>0</v>
      </c>
      <c r="BF103" s="52"/>
      <c r="BG103" s="52"/>
      <c r="BH103" s="52"/>
      <c r="BI103" s="53"/>
      <c r="BJ103" s="51"/>
      <c r="BK103" s="52"/>
      <c r="BL103" s="52"/>
      <c r="BM103" s="54">
        <f>+BJ103*BK103/1000000</f>
        <v>0</v>
      </c>
      <c r="BN103" s="52"/>
      <c r="BO103" s="52"/>
      <c r="BP103" s="52"/>
      <c r="BQ103" s="53"/>
      <c r="BR103" s="51">
        <v>2960</v>
      </c>
      <c r="BS103" s="52">
        <v>2350</v>
      </c>
      <c r="BT103" s="52">
        <v>2</v>
      </c>
      <c r="BU103" s="54">
        <f t="shared" si="312"/>
        <v>6.9560000000000004</v>
      </c>
      <c r="BV103" s="52">
        <v>4</v>
      </c>
      <c r="BW103" s="52" t="s">
        <v>82</v>
      </c>
      <c r="BX103" s="52" t="s">
        <v>81</v>
      </c>
      <c r="BY103" s="53">
        <v>1</v>
      </c>
      <c r="BZ103" s="51">
        <v>2000</v>
      </c>
      <c r="CA103" s="52">
        <v>1500</v>
      </c>
      <c r="CB103" s="52">
        <f t="shared" si="313"/>
        <v>3</v>
      </c>
      <c r="CC103" s="52">
        <v>32</v>
      </c>
      <c r="CD103" s="52">
        <v>29</v>
      </c>
      <c r="CE103" s="52">
        <v>33</v>
      </c>
      <c r="CF103" s="52">
        <v>33</v>
      </c>
      <c r="CG103" s="52">
        <f t="shared" si="314"/>
        <v>30.666666666666671</v>
      </c>
      <c r="CH103" s="53">
        <f t="shared" si="315"/>
        <v>0</v>
      </c>
      <c r="CI103" s="68">
        <f t="shared" si="336"/>
        <v>1150</v>
      </c>
      <c r="CJ103" s="70">
        <f t="shared" si="336"/>
        <v>0.92</v>
      </c>
      <c r="CK103" s="72">
        <f t="shared" si="296"/>
        <v>1</v>
      </c>
      <c r="CL103" s="51" t="str">
        <f t="shared" si="316"/>
        <v>0</v>
      </c>
      <c r="CM103" s="52">
        <f t="shared" si="317"/>
        <v>0</v>
      </c>
      <c r="CN103" s="52" t="str">
        <f t="shared" si="318"/>
        <v>0</v>
      </c>
      <c r="CO103" s="53" t="str">
        <f t="shared" si="319"/>
        <v>0</v>
      </c>
      <c r="CP103" s="64" t="str">
        <f t="shared" si="320"/>
        <v>0</v>
      </c>
      <c r="CQ103" s="52">
        <f t="shared" si="321"/>
        <v>0</v>
      </c>
      <c r="CR103" s="52" t="str">
        <f t="shared" si="322"/>
        <v>0</v>
      </c>
      <c r="CS103" s="63" t="str">
        <f t="shared" si="323"/>
        <v>0</v>
      </c>
      <c r="CT103" s="51" t="str">
        <f t="shared" si="324"/>
        <v>0</v>
      </c>
      <c r="CU103" s="52">
        <f t="shared" si="325"/>
        <v>0</v>
      </c>
      <c r="CV103" s="52" t="str">
        <f t="shared" si="326"/>
        <v>0</v>
      </c>
      <c r="CW103" s="53" t="str">
        <f t="shared" si="327"/>
        <v>0</v>
      </c>
      <c r="CX103" s="51">
        <f t="shared" si="328"/>
        <v>4</v>
      </c>
      <c r="CY103" s="52">
        <f t="shared" si="329"/>
        <v>7</v>
      </c>
      <c r="CZ103" s="52" t="str">
        <f t="shared" si="330"/>
        <v>C</v>
      </c>
      <c r="DA103" s="53">
        <f t="shared" si="331"/>
        <v>1</v>
      </c>
      <c r="DB103" s="51">
        <f t="shared" si="310"/>
        <v>4</v>
      </c>
      <c r="DC103" s="52" t="str">
        <f t="shared" si="311"/>
        <v>7A</v>
      </c>
      <c r="DD103" s="52" t="str">
        <f t="shared" si="332"/>
        <v>C</v>
      </c>
      <c r="DE103" s="52">
        <f t="shared" si="284"/>
        <v>1</v>
      </c>
      <c r="DF103" s="52">
        <f t="shared" si="333"/>
        <v>33</v>
      </c>
      <c r="DG103" s="58">
        <f t="shared" si="334"/>
        <v>2.6362304347826084</v>
      </c>
    </row>
  </sheetData>
  <sheetProtection password="A489" sheet="1"/>
  <mergeCells count="84">
    <mergeCell ref="AT80:BA80"/>
    <mergeCell ref="BB80:BI80"/>
    <mergeCell ref="AT55:BA55"/>
    <mergeCell ref="F57:I57"/>
    <mergeCell ref="F82:I82"/>
    <mergeCell ref="F32:I32"/>
    <mergeCell ref="F58:I58"/>
    <mergeCell ref="F33:I33"/>
    <mergeCell ref="DD81:DE81"/>
    <mergeCell ref="C81:D81"/>
    <mergeCell ref="C93:D93"/>
    <mergeCell ref="AZ81:BA81"/>
    <mergeCell ref="BH81:BI81"/>
    <mergeCell ref="BP81:BQ81"/>
    <mergeCell ref="BX81:BY81"/>
    <mergeCell ref="F83:I83"/>
    <mergeCell ref="BJ80:BQ80"/>
    <mergeCell ref="BX56:BY56"/>
    <mergeCell ref="BR80:BY80"/>
    <mergeCell ref="CP80:CS80"/>
    <mergeCell ref="BZ80:CH80"/>
    <mergeCell ref="AZ31:BA31"/>
    <mergeCell ref="BH31:BI31"/>
    <mergeCell ref="AZ7:BA7"/>
    <mergeCell ref="BP56:BQ56"/>
    <mergeCell ref="BZ55:CH55"/>
    <mergeCell ref="BH56:BI56"/>
    <mergeCell ref="AZ56:BA56"/>
    <mergeCell ref="BB55:BI55"/>
    <mergeCell ref="BP31:BQ31"/>
    <mergeCell ref="BX31:BY31"/>
    <mergeCell ref="BJ55:BQ55"/>
    <mergeCell ref="BR55:BY55"/>
    <mergeCell ref="BH7:BI7"/>
    <mergeCell ref="AT30:BA30"/>
    <mergeCell ref="BB30:BI30"/>
    <mergeCell ref="BJ6:BQ6"/>
    <mergeCell ref="BR6:BY6"/>
    <mergeCell ref="AT6:BA6"/>
    <mergeCell ref="BB6:BI6"/>
    <mergeCell ref="BP7:BQ7"/>
    <mergeCell ref="BX7:BY7"/>
    <mergeCell ref="CP30:CS30"/>
    <mergeCell ref="BZ30:CH30"/>
    <mergeCell ref="BJ30:BQ30"/>
    <mergeCell ref="BR30:BY30"/>
    <mergeCell ref="CL30:CO30"/>
    <mergeCell ref="DB6:DG6"/>
    <mergeCell ref="BZ6:CH6"/>
    <mergeCell ref="CL6:CO6"/>
    <mergeCell ref="CP6:CS6"/>
    <mergeCell ref="CT6:CW6"/>
    <mergeCell ref="CX6:DA6"/>
    <mergeCell ref="DB80:DG80"/>
    <mergeCell ref="DD7:DE7"/>
    <mergeCell ref="CL80:CO80"/>
    <mergeCell ref="CT80:CW80"/>
    <mergeCell ref="CX80:DA80"/>
    <mergeCell ref="CL55:CO55"/>
    <mergeCell ref="CT55:CW55"/>
    <mergeCell ref="DD56:DE56"/>
    <mergeCell ref="DB30:DG30"/>
    <mergeCell ref="DD31:DE31"/>
    <mergeCell ref="CX30:DA30"/>
    <mergeCell ref="CT30:CW30"/>
    <mergeCell ref="DB55:DG55"/>
    <mergeCell ref="CX55:DA55"/>
    <mergeCell ref="CP55:CS55"/>
    <mergeCell ref="C68:D68"/>
    <mergeCell ref="AA80:AC80"/>
    <mergeCell ref="AD80:AF80"/>
    <mergeCell ref="AA6:AC6"/>
    <mergeCell ref="AD6:AF6"/>
    <mergeCell ref="AA30:AC30"/>
    <mergeCell ref="AD30:AF30"/>
    <mergeCell ref="C43:D43"/>
    <mergeCell ref="C31:D31"/>
    <mergeCell ref="C7:D7"/>
    <mergeCell ref="AA55:AC55"/>
    <mergeCell ref="AD55:AF55"/>
    <mergeCell ref="C56:D56"/>
    <mergeCell ref="F8:I8"/>
    <mergeCell ref="F9:I9"/>
    <mergeCell ref="C19:D19"/>
  </mergeCells>
  <phoneticPr fontId="4" type="noConversion"/>
  <dataValidations disablePrompts="1" xWindow="549" yWindow="232" count="3">
    <dataValidation type="list" allowBlank="1" showInputMessage="1" showErrorMessage="1" sqref="D10 D59 D34 D84" xr:uid="{B84DFCA3-1925-4129-B745-ACC6AF130573}">
      <formula1>$J$5:$J$10</formula1>
    </dataValidation>
    <dataValidation type="list" allowBlank="1" showInputMessage="1" showErrorMessage="1" sqref="D35:D36 D60:D61 D11:D12 D85:D86" xr:uid="{88B5C6BD-F9CD-46C2-A96C-633B0AA96659}">
      <formula1>$L$1:$L$2</formula1>
    </dataValidation>
    <dataValidation type="list" allowBlank="1" showInputMessage="1" showErrorMessage="1" sqref="D8 D32 D57 D82" xr:uid="{1A9CB908-D509-419F-8F65-9ED8B064C3B8}">
      <formula1>$N$8:$N$28</formula1>
    </dataValidation>
  </dataValidations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EA5A-A6C3-451D-9827-EBB16D0A5BC6}">
  <dimension ref="B2:J58"/>
  <sheetViews>
    <sheetView zoomScale="115" zoomScaleNormal="115" workbookViewId="0">
      <selection activeCell="D16" sqref="D16:D18"/>
    </sheetView>
  </sheetViews>
  <sheetFormatPr defaultColWidth="11.42578125" defaultRowHeight="11.25" customHeight="1"/>
  <cols>
    <col min="1" max="1" width="3" style="156" customWidth="1"/>
    <col min="2" max="2" width="14" style="156" customWidth="1"/>
    <col min="3" max="3" width="7.7109375" style="156" bestFit="1" customWidth="1"/>
    <col min="4" max="4" width="8.7109375" style="156" customWidth="1"/>
    <col min="5" max="5" width="13.42578125" style="156" customWidth="1"/>
    <col min="6" max="6" width="3.85546875" style="156" customWidth="1"/>
    <col min="7" max="7" width="14" style="156" customWidth="1"/>
    <col min="8" max="8" width="7.7109375" style="156" bestFit="1" customWidth="1"/>
    <col min="9" max="9" width="8.7109375" style="156" customWidth="1"/>
    <col min="10" max="10" width="13.42578125" style="156" customWidth="1"/>
    <col min="11" max="16384" width="11.42578125" style="156"/>
  </cols>
  <sheetData>
    <row r="2" spans="2:10" ht="18" customHeight="1">
      <c r="B2" s="155" t="str">
        <f>IF('[1]Dades finestra'!D25="","",'[1]Dades finestra'!D25)</f>
        <v/>
      </c>
      <c r="G2" s="155" t="str">
        <f>IF('[1]Dades finestra'!D48="","",'[1]Dades finestra'!D48)</f>
        <v/>
      </c>
    </row>
    <row r="3" spans="2:10" ht="3.75" customHeight="1" thickBot="1"/>
    <row r="4" spans="2:10" ht="15" customHeight="1">
      <c r="B4" s="157" t="s">
        <v>146</v>
      </c>
      <c r="C4" s="158"/>
      <c r="D4" s="158"/>
      <c r="E4" s="232" t="str">
        <f>+'Dades finestra'!G16&amp;'Dades finestra'!G17</f>
        <v>A**</v>
      </c>
      <c r="G4" s="157" t="s">
        <v>146</v>
      </c>
      <c r="H4" s="158"/>
      <c r="I4" s="158"/>
      <c r="J4" s="232" t="str">
        <f>+'Dades finestra'!G40&amp;'Dades finestra'!G41</f>
        <v>C***</v>
      </c>
    </row>
    <row r="5" spans="2:10" ht="15" customHeight="1">
      <c r="B5" s="159" t="s">
        <v>147</v>
      </c>
      <c r="C5" s="160"/>
      <c r="D5" s="160"/>
      <c r="E5" s="233"/>
      <c r="G5" s="159" t="s">
        <v>147</v>
      </c>
      <c r="H5" s="160"/>
      <c r="I5" s="160"/>
      <c r="J5" s="233"/>
    </row>
    <row r="6" spans="2:10" ht="6" customHeight="1">
      <c r="B6" s="161"/>
      <c r="E6" s="162"/>
      <c r="G6" s="161"/>
      <c r="J6" s="162"/>
    </row>
    <row r="7" spans="2:10" ht="11.25" customHeight="1">
      <c r="B7" s="234" t="str">
        <f>+"Finestra exterior per a ús públic/privat "&amp;'Dades finestra'!I21&amp;" de "&amp;'Dades finestra'!D10&amp;" fulles amb vidre "&amp;'Dades finestra'!D20&amp;" de la sèrie "&amp;'Dades finestra'!D8&amp;" en color "&amp;'Dades finestra'!D9&amp;", de mides "&amp;'Dades finestra'!D13&amp;" X "&amp;'Dades finestra'!D14</f>
        <v>Finestra exterior per a ús públic/privat PRACTICABLE de 1 fulles amb vidre 4+4 Silence/18/6 Guardian Sun de la sèrie PRACTIC HO 70 RPT en color SG8019, de mides 1400 X 2150</v>
      </c>
      <c r="C7" s="235"/>
      <c r="D7" s="235"/>
      <c r="E7" s="236"/>
      <c r="G7" s="234" t="str">
        <f>+"Finestra exterior per a ús públic/privat "&amp;'Dades finestra'!I45&amp;" de "&amp;'Dades finestra'!D34&amp;" fulles amb vidre "&amp;'Dades finestra'!D44&amp;" de la sèrie "&amp;'Dades finestra'!D32&amp;" en color "&amp;'Dades finestra'!D33&amp;", de mides "&amp;'Dades finestra'!D37&amp;" X "&amp;'Dades finestra'!D38</f>
        <v>Finestra exterior per a ús públic/privat PRACTICABLE de 1 fulles amb vidre 4+4 Silence/18/6 Guardian Sun de la sèrie PRACTIC 65 RPT en color SG8019, de mides 300 X 300</v>
      </c>
      <c r="H7" s="235"/>
      <c r="I7" s="235"/>
      <c r="J7" s="236"/>
    </row>
    <row r="8" spans="2:10" ht="11.25" customHeight="1">
      <c r="B8" s="234"/>
      <c r="C8" s="235"/>
      <c r="D8" s="235"/>
      <c r="E8" s="236"/>
      <c r="G8" s="234"/>
      <c r="H8" s="235"/>
      <c r="I8" s="235"/>
      <c r="J8" s="236"/>
    </row>
    <row r="9" spans="2:10" ht="11.25" customHeight="1">
      <c r="B9" s="234"/>
      <c r="C9" s="235"/>
      <c r="D9" s="235"/>
      <c r="E9" s="236"/>
      <c r="G9" s="234"/>
      <c r="H9" s="235"/>
      <c r="I9" s="235"/>
      <c r="J9" s="236"/>
    </row>
    <row r="10" spans="2:10" ht="11.25" customHeight="1">
      <c r="B10" s="234"/>
      <c r="C10" s="235"/>
      <c r="D10" s="235"/>
      <c r="E10" s="236"/>
      <c r="G10" s="234"/>
      <c r="H10" s="235"/>
      <c r="I10" s="235"/>
      <c r="J10" s="236"/>
    </row>
    <row r="11" spans="2:10" ht="11.25" customHeight="1">
      <c r="B11" s="237"/>
      <c r="C11" s="238"/>
      <c r="D11" s="238"/>
      <c r="E11" s="239"/>
      <c r="G11" s="237"/>
      <c r="H11" s="238"/>
      <c r="I11" s="238"/>
      <c r="J11" s="239"/>
    </row>
    <row r="12" spans="2:10" ht="11.25" customHeight="1">
      <c r="B12" s="163" t="s">
        <v>148</v>
      </c>
      <c r="C12" s="164"/>
      <c r="D12" s="164"/>
      <c r="E12" s="165" t="s">
        <v>149</v>
      </c>
      <c r="G12" s="163" t="s">
        <v>148</v>
      </c>
      <c r="H12" s="164"/>
      <c r="I12" s="164"/>
      <c r="J12" s="165" t="s">
        <v>149</v>
      </c>
    </row>
    <row r="13" spans="2:10" ht="11.25" customHeight="1">
      <c r="B13" s="166" t="s">
        <v>150</v>
      </c>
      <c r="C13" s="167"/>
      <c r="D13" s="167"/>
      <c r="E13" s="168" t="s">
        <v>150</v>
      </c>
      <c r="G13" s="166" t="s">
        <v>150</v>
      </c>
      <c r="H13" s="167"/>
      <c r="I13" s="167"/>
      <c r="J13" s="168" t="s">
        <v>150</v>
      </c>
    </row>
    <row r="14" spans="2:10" ht="15.75" customHeight="1">
      <c r="B14" s="169"/>
      <c r="C14" s="170" t="str">
        <f>+IF('Dades finestra'!$G$16="A",IMATGES!B3,"")</f>
        <v>◄A</v>
      </c>
      <c r="D14" s="240" t="str">
        <f>+IF('Dades finestra'!$G$17="***",IMATGES!A3,"")</f>
        <v/>
      </c>
      <c r="E14" s="171"/>
      <c r="G14" s="169"/>
      <c r="H14" s="170" t="str">
        <f>+IF('Dades finestra'!$G$40="A",IMATGES!B3,"")</f>
        <v/>
      </c>
      <c r="I14" s="240" t="str">
        <f>+IF('Dades finestra'!G41="***",IMATGES!A3,"")</f>
        <v>***</v>
      </c>
      <c r="J14" s="171"/>
    </row>
    <row r="15" spans="2:10" ht="15.75" customHeight="1">
      <c r="B15" s="169"/>
      <c r="C15" s="170" t="str">
        <f>+IF('Dades finestra'!$G$16="B",IMATGES!B4,"")</f>
        <v/>
      </c>
      <c r="D15" s="240"/>
      <c r="E15" s="171"/>
      <c r="G15" s="169"/>
      <c r="H15" s="170" t="str">
        <f>+IF('Dades finestra'!$G$40="B",IMATGES!B4,"")</f>
        <v/>
      </c>
      <c r="I15" s="240"/>
      <c r="J15" s="171"/>
    </row>
    <row r="16" spans="2:10" ht="15.75" customHeight="1">
      <c r="B16" s="169"/>
      <c r="C16" s="170" t="str">
        <f>+IF('Dades finestra'!$G$16="C",IMATGES!B5,"")</f>
        <v/>
      </c>
      <c r="D16" s="240" t="str">
        <f>+IF('Dades finestra'!$G$17="**",IMATGES!A4,"")</f>
        <v>**</v>
      </c>
      <c r="E16" s="171"/>
      <c r="G16" s="169"/>
      <c r="H16" s="170" t="str">
        <f>+IF('Dades finestra'!$G$40="C",IMATGES!B5,"")</f>
        <v>◄C</v>
      </c>
      <c r="I16" s="240" t="str">
        <f>+IF('Dades finestra'!G41="**",IMATGES!A4,"")</f>
        <v/>
      </c>
      <c r="J16" s="171"/>
    </row>
    <row r="17" spans="2:10" ht="15.75" customHeight="1">
      <c r="B17" s="169"/>
      <c r="C17" s="170" t="str">
        <f>+IF('Dades finestra'!$G$16="D",IMATGES!B6,"")</f>
        <v/>
      </c>
      <c r="D17" s="240"/>
      <c r="E17" s="171"/>
      <c r="G17" s="169"/>
      <c r="H17" s="170" t="str">
        <f>+IF('Dades finestra'!$G$40="D",IMATGES!B6,"")</f>
        <v/>
      </c>
      <c r="I17" s="240"/>
      <c r="J17" s="171"/>
    </row>
    <row r="18" spans="2:10" ht="15.75" customHeight="1">
      <c r="B18" s="169"/>
      <c r="C18" s="170" t="str">
        <f>+IF('Dades finestra'!$G$16="E",IMATGES!B7,"")</f>
        <v/>
      </c>
      <c r="D18" s="240"/>
      <c r="E18" s="171"/>
      <c r="G18" s="169"/>
      <c r="H18" s="170" t="str">
        <f>+IF('Dades finestra'!$G$40="E",IMATGES!B7,"")</f>
        <v/>
      </c>
      <c r="I18" s="240"/>
      <c r="J18" s="171"/>
    </row>
    <row r="19" spans="2:10" ht="15.75" customHeight="1">
      <c r="B19" s="169"/>
      <c r="C19" s="170" t="str">
        <f>+IF('Dades finestra'!$G$16="F",IMATGES!B8,"")</f>
        <v/>
      </c>
      <c r="D19" s="240" t="str">
        <f>+IF('Dades finestra'!$G$17="*",IMATGES!A5,"")</f>
        <v/>
      </c>
      <c r="E19" s="171"/>
      <c r="G19" s="169"/>
      <c r="H19" s="170" t="str">
        <f>+IF('Dades finestra'!$G$40="F",IMATGES!B8,"")</f>
        <v/>
      </c>
      <c r="I19" s="240" t="str">
        <f>+IF('Dades finestra'!G41="*",IMATGES!A5,"")</f>
        <v/>
      </c>
      <c r="J19" s="171"/>
    </row>
    <row r="20" spans="2:10" ht="15.75" customHeight="1">
      <c r="B20" s="169"/>
      <c r="C20" s="170" t="str">
        <f>+IF('Dades finestra'!$G$16="G",IMATGES!B9,"")</f>
        <v/>
      </c>
      <c r="D20" s="240"/>
      <c r="E20" s="171"/>
      <c r="G20" s="169"/>
      <c r="H20" s="170" t="str">
        <f>+IF('Dades finestra'!$G$40="G",IMATGES!B9,"")</f>
        <v/>
      </c>
      <c r="I20" s="240"/>
      <c r="J20" s="171"/>
    </row>
    <row r="21" spans="2:10" ht="11.25" customHeight="1">
      <c r="B21" s="172" t="s">
        <v>151</v>
      </c>
      <c r="C21" s="167"/>
      <c r="D21" s="167"/>
      <c r="E21" s="173" t="s">
        <v>151</v>
      </c>
      <c r="G21" s="172" t="s">
        <v>151</v>
      </c>
      <c r="H21" s="167"/>
      <c r="I21" s="167"/>
      <c r="J21" s="173" t="s">
        <v>151</v>
      </c>
    </row>
    <row r="22" spans="2:10" ht="11.25" customHeight="1">
      <c r="B22" s="241" t="s">
        <v>152</v>
      </c>
      <c r="C22" s="242"/>
      <c r="D22" s="242"/>
      <c r="E22" s="243"/>
      <c r="G22" s="241" t="s">
        <v>152</v>
      </c>
      <c r="H22" s="242"/>
      <c r="I22" s="242"/>
      <c r="J22" s="243"/>
    </row>
    <row r="23" spans="2:10" ht="19.5" customHeight="1">
      <c r="B23" s="174" t="s">
        <v>153</v>
      </c>
      <c r="C23" s="246" t="s">
        <v>154</v>
      </c>
      <c r="D23" s="246"/>
      <c r="E23" s="175" t="s">
        <v>155</v>
      </c>
      <c r="G23" s="174" t="s">
        <v>153</v>
      </c>
      <c r="H23" s="246" t="s">
        <v>154</v>
      </c>
      <c r="I23" s="246"/>
      <c r="J23" s="175" t="s">
        <v>155</v>
      </c>
    </row>
    <row r="24" spans="2:10" ht="11.25" customHeight="1">
      <c r="B24" s="176">
        <f>IF('Dades finestra'!G10="","NPD",'Dades finestra'!G10)</f>
        <v>0.5</v>
      </c>
      <c r="C24" s="244">
        <f>+'Dades finestra'!G14</f>
        <v>1.2354925302325581</v>
      </c>
      <c r="D24" s="245"/>
      <c r="E24" s="177">
        <f>+'Dades finestra'!G15</f>
        <v>4</v>
      </c>
      <c r="G24" s="176">
        <f>IF('Dades finestra'!G34="","NPD",'Dades finestra'!G34)</f>
        <v>0.1</v>
      </c>
      <c r="H24" s="244">
        <f>+'Dades finestra'!G38</f>
        <v>2.3297466666666664</v>
      </c>
      <c r="I24" s="245"/>
      <c r="J24" s="177">
        <f>+'Dades finestra'!G39</f>
        <v>4</v>
      </c>
    </row>
    <row r="25" spans="2:10" ht="11.25" customHeight="1">
      <c r="B25" s="161"/>
      <c r="C25" s="178"/>
      <c r="D25" s="178"/>
      <c r="E25" s="179"/>
      <c r="G25" s="161"/>
      <c r="H25" s="178"/>
      <c r="I25" s="178"/>
      <c r="J25" s="179"/>
    </row>
    <row r="26" spans="2:10" ht="11.25" customHeight="1">
      <c r="B26" s="180" t="str">
        <f>+'Dades empresa'!$C$6</f>
        <v>INNALTECH</v>
      </c>
      <c r="C26" s="178"/>
      <c r="D26" s="178"/>
      <c r="E26" s="179"/>
      <c r="G26" s="180" t="str">
        <f>+'Dades empresa'!$C$6</f>
        <v>INNALTECH</v>
      </c>
      <c r="H26" s="178"/>
      <c r="I26" s="178"/>
      <c r="J26" s="179"/>
    </row>
    <row r="27" spans="2:10" ht="11.25" customHeight="1">
      <c r="B27" s="180" t="str">
        <f>+'Dades empresa'!$C$7</f>
        <v>CARRER</v>
      </c>
      <c r="C27" s="178"/>
      <c r="D27" s="178"/>
      <c r="E27" s="179"/>
      <c r="G27" s="180" t="str">
        <f>+'Dades empresa'!$C$7</f>
        <v>CARRER</v>
      </c>
      <c r="H27" s="178"/>
      <c r="I27" s="178"/>
      <c r="J27" s="179"/>
    </row>
    <row r="28" spans="2:10" ht="11.25" customHeight="1">
      <c r="B28" s="180" t="str">
        <f>+'Dades empresa'!$C$8&amp;" "&amp;'Dades empresa'!$C$9&amp;" ("&amp;'Dades empresa'!$C$10&amp;")"</f>
        <v>XXXXXX SALLENT (BARCELONA)</v>
      </c>
      <c r="C28" s="181"/>
      <c r="D28" s="181"/>
      <c r="E28" s="201"/>
      <c r="G28" s="180" t="str">
        <f>+'Dades empresa'!$C$8&amp;" "&amp;'Dades empresa'!$C$9&amp;" ("&amp;'Dades empresa'!$C$10&amp;")"</f>
        <v>XXXXXX SALLENT (BARCELONA)</v>
      </c>
      <c r="H28" s="181"/>
      <c r="I28" s="181"/>
      <c r="J28" s="201"/>
    </row>
    <row r="29" spans="2:10" ht="11.25" customHeight="1" thickBot="1">
      <c r="B29" s="182"/>
      <c r="C29" s="183"/>
      <c r="D29" s="183"/>
      <c r="E29" s="184"/>
      <c r="G29" s="182"/>
      <c r="H29" s="183"/>
      <c r="I29" s="183"/>
      <c r="J29" s="184"/>
    </row>
    <row r="31" spans="2:10" ht="18" customHeight="1">
      <c r="B31" s="155" t="str">
        <f>IF('[1]Dades finestra'!D72="","",'[1]Dades finestra'!D72)</f>
        <v/>
      </c>
      <c r="G31" s="155" t="str">
        <f>IF('[1]Dades finestra'!D96="","",'[1]Dades finestra'!D96)</f>
        <v/>
      </c>
    </row>
    <row r="32" spans="2:10" ht="3.75" customHeight="1" thickBot="1"/>
    <row r="33" spans="2:10" ht="15" customHeight="1">
      <c r="B33" s="157" t="s">
        <v>146</v>
      </c>
      <c r="C33" s="158"/>
      <c r="D33" s="158"/>
      <c r="E33" s="232" t="str">
        <f>+'Dades finestra'!G65&amp;'Dades finestra'!G66</f>
        <v>B**</v>
      </c>
      <c r="G33" s="157" t="s">
        <v>146</v>
      </c>
      <c r="H33" s="158"/>
      <c r="I33" s="158"/>
      <c r="J33" s="232" t="str">
        <f>+'Dades finestra'!G90&amp;'Dades finestra'!G91</f>
        <v>B**</v>
      </c>
    </row>
    <row r="34" spans="2:10" ht="15" customHeight="1">
      <c r="B34" s="159" t="s">
        <v>147</v>
      </c>
      <c r="C34" s="160"/>
      <c r="D34" s="160"/>
      <c r="E34" s="233"/>
      <c r="G34" s="159" t="s">
        <v>147</v>
      </c>
      <c r="H34" s="160"/>
      <c r="I34" s="160"/>
      <c r="J34" s="233"/>
    </row>
    <row r="35" spans="2:10" ht="6" customHeight="1">
      <c r="B35" s="161"/>
      <c r="E35" s="162"/>
      <c r="G35" s="161"/>
      <c r="J35" s="162"/>
    </row>
    <row r="36" spans="2:10" ht="11.25" customHeight="1">
      <c r="B36" s="234" t="str">
        <f>+"Finestra exterior per a ús públic/privat "&amp;'Dades finestra'!I70&amp;" de "&amp;'Dades finestra'!J68&amp;" fulles amb vidre "&amp;'Dades finestra'!D69&amp;" de la sèrie "&amp;'Dades finestra'!D56&amp;" en color "&amp;'Dades finestra'!D57&amp;", de mides "&amp;'Dades finestra'!D62&amp;" X "&amp;'Dades finestra'!D63</f>
        <v>Finestra exterior per a ús públic/privat PRACTICABLE de 1 fulles amb vidre 4+4 Silence/18/6 Guardian Sun de la sèrie  en color PRACTIC 65 RPT, de mides 800 X 2150</v>
      </c>
      <c r="C36" s="235"/>
      <c r="D36" s="235"/>
      <c r="E36" s="236"/>
      <c r="G36" s="234" t="str">
        <f>+"Finestra exterior per a ús públic/privat "&amp;'Dades finestra'!I95&amp;" de "&amp;'Dades finestra'!J93&amp;" fulles amb vidre "&amp;'Dades finestra'!D94&amp;" de la sèrie "&amp;'Dades finestra'!D82&amp;" en color "&amp;'Dades finestra'!D83&amp;", de mides "&amp;'Dades finestra'!D87&amp;" X "&amp;'Dades finestra'!D88</f>
        <v>Finestra exterior per a ús públic/privat OSCIL·LOBATENT de 1 fulles amb vidre 4+4 Silence/18/6 Guardian Sun de la sèrie PRACTIC 65 RPT en color SG8019, de mides 800 X 1150</v>
      </c>
      <c r="H36" s="235"/>
      <c r="I36" s="235"/>
      <c r="J36" s="236"/>
    </row>
    <row r="37" spans="2:10" ht="11.25" customHeight="1">
      <c r="B37" s="234"/>
      <c r="C37" s="235"/>
      <c r="D37" s="235"/>
      <c r="E37" s="236"/>
      <c r="G37" s="234"/>
      <c r="H37" s="235"/>
      <c r="I37" s="235"/>
      <c r="J37" s="236"/>
    </row>
    <row r="38" spans="2:10" ht="11.25" customHeight="1">
      <c r="B38" s="234"/>
      <c r="C38" s="235"/>
      <c r="D38" s="235"/>
      <c r="E38" s="236"/>
      <c r="G38" s="234"/>
      <c r="H38" s="235"/>
      <c r="I38" s="235"/>
      <c r="J38" s="236"/>
    </row>
    <row r="39" spans="2:10" ht="11.25" customHeight="1">
      <c r="B39" s="234"/>
      <c r="C39" s="235"/>
      <c r="D39" s="235"/>
      <c r="E39" s="236"/>
      <c r="G39" s="234"/>
      <c r="H39" s="235"/>
      <c r="I39" s="235"/>
      <c r="J39" s="236"/>
    </row>
    <row r="40" spans="2:10" ht="11.25" customHeight="1">
      <c r="B40" s="237"/>
      <c r="C40" s="238"/>
      <c r="D40" s="238"/>
      <c r="E40" s="239"/>
      <c r="G40" s="237"/>
      <c r="H40" s="238"/>
      <c r="I40" s="238"/>
      <c r="J40" s="239"/>
    </row>
    <row r="41" spans="2:10" ht="11.25" customHeight="1">
      <c r="B41" s="163" t="s">
        <v>148</v>
      </c>
      <c r="C41" s="164"/>
      <c r="D41" s="164"/>
      <c r="E41" s="165" t="s">
        <v>149</v>
      </c>
      <c r="G41" s="163" t="s">
        <v>148</v>
      </c>
      <c r="H41" s="164"/>
      <c r="I41" s="164"/>
      <c r="J41" s="165" t="s">
        <v>149</v>
      </c>
    </row>
    <row r="42" spans="2:10" ht="11.25" customHeight="1">
      <c r="B42" s="166" t="s">
        <v>150</v>
      </c>
      <c r="C42" s="167"/>
      <c r="D42" s="167"/>
      <c r="E42" s="168" t="s">
        <v>150</v>
      </c>
      <c r="G42" s="166" t="s">
        <v>150</v>
      </c>
      <c r="H42" s="167"/>
      <c r="I42" s="167"/>
      <c r="J42" s="168" t="s">
        <v>150</v>
      </c>
    </row>
    <row r="43" spans="2:10" ht="15.75" customHeight="1">
      <c r="B43" s="169"/>
      <c r="C43" s="170" t="str">
        <f>+IF('Dades finestra'!$G$65="A",IMATGES!B3,"")</f>
        <v/>
      </c>
      <c r="D43" s="240" t="str">
        <f>+IF('Dades finestra'!$G$66="***",IMATGES!A3,"")</f>
        <v/>
      </c>
      <c r="E43" s="171"/>
      <c r="G43" s="169"/>
      <c r="H43" s="170" t="str">
        <f>+IF('Dades finestra'!$G$90="A",IMATGES!B3,"")</f>
        <v/>
      </c>
      <c r="I43" s="240" t="str">
        <f>+IF('Dades finestra'!$G$91="***",IMATGES!A3,"")</f>
        <v/>
      </c>
      <c r="J43" s="171"/>
    </row>
    <row r="44" spans="2:10" ht="15.75" customHeight="1">
      <c r="B44" s="169"/>
      <c r="C44" s="170" t="str">
        <f>+IF('Dades finestra'!$G$65="B",IMATGES!B4,"")</f>
        <v>◄B</v>
      </c>
      <c r="D44" s="240"/>
      <c r="E44" s="171"/>
      <c r="G44" s="169"/>
      <c r="H44" s="170" t="str">
        <f>+IF('Dades finestra'!$G$90="B",IMATGES!B4,"")</f>
        <v>◄B</v>
      </c>
      <c r="I44" s="240"/>
      <c r="J44" s="171"/>
    </row>
    <row r="45" spans="2:10" ht="15.75" customHeight="1">
      <c r="B45" s="169"/>
      <c r="C45" s="170" t="str">
        <f>+IF('Dades finestra'!$G$65="C",IMATGES!B5,"")</f>
        <v/>
      </c>
      <c r="D45" s="240" t="str">
        <f>+IF('Dades finestra'!$G$66="**",IMATGES!A4,"")</f>
        <v>**</v>
      </c>
      <c r="E45" s="171"/>
      <c r="G45" s="169"/>
      <c r="H45" s="170" t="str">
        <f>+IF('Dades finestra'!$G$90="C",IMATGES!B5,"")</f>
        <v/>
      </c>
      <c r="I45" s="240" t="str">
        <f>+IF('Dades finestra'!$G$91="**",IMATGES!A4,"")</f>
        <v>**</v>
      </c>
      <c r="J45" s="171"/>
    </row>
    <row r="46" spans="2:10" ht="15.75" customHeight="1">
      <c r="B46" s="169"/>
      <c r="C46" s="170" t="str">
        <f>+IF('Dades finestra'!$G$65="D",IMATGES!B6,"")</f>
        <v/>
      </c>
      <c r="D46" s="240"/>
      <c r="E46" s="171"/>
      <c r="G46" s="169"/>
      <c r="H46" s="170" t="str">
        <f>+IF('Dades finestra'!$G$90="D",IMATGES!B6,"")</f>
        <v/>
      </c>
      <c r="I46" s="240"/>
      <c r="J46" s="171"/>
    </row>
    <row r="47" spans="2:10" ht="15.75" customHeight="1">
      <c r="B47" s="169"/>
      <c r="C47" s="170" t="str">
        <f>+IF('Dades finestra'!$G$65="E",IMATGES!B7,"")</f>
        <v/>
      </c>
      <c r="D47" s="240"/>
      <c r="E47" s="171"/>
      <c r="G47" s="169"/>
      <c r="H47" s="170" t="str">
        <f>+IF('Dades finestra'!$G$90="E",IMATGES!B7,"")</f>
        <v/>
      </c>
      <c r="I47" s="240"/>
      <c r="J47" s="171"/>
    </row>
    <row r="48" spans="2:10" ht="15.75" customHeight="1">
      <c r="B48" s="169"/>
      <c r="C48" s="170" t="str">
        <f>+IF('Dades finestra'!$G$65="F",IMATGES!B8,"")</f>
        <v/>
      </c>
      <c r="D48" s="240" t="str">
        <f>+IF('Dades finestra'!$G$66="*",IMATGES!A5,"")</f>
        <v/>
      </c>
      <c r="E48" s="171"/>
      <c r="G48" s="169"/>
      <c r="H48" s="170" t="str">
        <f>+IF('Dades finestra'!$G$90="F",IMATGES!B8,"")</f>
        <v/>
      </c>
      <c r="I48" s="240" t="str">
        <f>+IF('Dades finestra'!$G$91="*",IMATGES!A5,"")</f>
        <v/>
      </c>
      <c r="J48" s="171"/>
    </row>
    <row r="49" spans="2:10" ht="15.75" customHeight="1">
      <c r="B49" s="169"/>
      <c r="C49" s="170" t="str">
        <f>+IF('Dades finestra'!$G$65="G",IMATGES!B9,"")</f>
        <v/>
      </c>
      <c r="D49" s="240"/>
      <c r="E49" s="171"/>
      <c r="G49" s="169"/>
      <c r="H49" s="170" t="str">
        <f>+IF('Dades finestra'!$G$90="G",IMATGES!B9,"")</f>
        <v/>
      </c>
      <c r="I49" s="240"/>
      <c r="J49" s="171"/>
    </row>
    <row r="50" spans="2:10" ht="11.25" customHeight="1">
      <c r="B50" s="172" t="s">
        <v>151</v>
      </c>
      <c r="C50" s="167"/>
      <c r="D50" s="167"/>
      <c r="E50" s="173" t="s">
        <v>151</v>
      </c>
      <c r="G50" s="172" t="s">
        <v>151</v>
      </c>
      <c r="H50" s="167"/>
      <c r="I50" s="167"/>
      <c r="J50" s="173" t="s">
        <v>151</v>
      </c>
    </row>
    <row r="51" spans="2:10" ht="11.25" customHeight="1">
      <c r="B51" s="241" t="s">
        <v>152</v>
      </c>
      <c r="C51" s="242"/>
      <c r="D51" s="242"/>
      <c r="E51" s="243"/>
      <c r="G51" s="241" t="s">
        <v>152</v>
      </c>
      <c r="H51" s="242"/>
      <c r="I51" s="242"/>
      <c r="J51" s="243"/>
    </row>
    <row r="52" spans="2:10" ht="19.5" customHeight="1">
      <c r="B52" s="174" t="s">
        <v>153</v>
      </c>
      <c r="C52" s="246" t="s">
        <v>154</v>
      </c>
      <c r="D52" s="246"/>
      <c r="E52" s="175" t="s">
        <v>155</v>
      </c>
      <c r="G52" s="174" t="s">
        <v>153</v>
      </c>
      <c r="H52" s="246" t="s">
        <v>154</v>
      </c>
      <c r="I52" s="246"/>
      <c r="J52" s="175" t="s">
        <v>155</v>
      </c>
    </row>
    <row r="53" spans="2:10" ht="11.25" customHeight="1">
      <c r="B53" s="176">
        <f>IF('Dades finestra'!G59="","NPD",'Dades finestra'!G59)</f>
        <v>0.5</v>
      </c>
      <c r="C53" s="244">
        <f>+'Dades finestra'!G63</f>
        <v>1.5205543023255814</v>
      </c>
      <c r="D53" s="245"/>
      <c r="E53" s="177">
        <f>+'Dades finestra'!G64</f>
        <v>4</v>
      </c>
      <c r="G53" s="176">
        <f>IF('Dades finestra'!G84="","NPD",'Dades finestra'!G84)</f>
        <v>0.42</v>
      </c>
      <c r="H53" s="244">
        <f>+'Dades finestra'!G88</f>
        <v>1.7492682282608696</v>
      </c>
      <c r="I53" s="245"/>
      <c r="J53" s="177">
        <f>+'Dades finestra'!G89</f>
        <v>4</v>
      </c>
    </row>
    <row r="54" spans="2:10" ht="11.25" customHeight="1">
      <c r="B54" s="161"/>
      <c r="C54" s="178"/>
      <c r="D54" s="178"/>
      <c r="E54" s="179"/>
      <c r="G54" s="161"/>
      <c r="H54" s="178"/>
      <c r="I54" s="178"/>
      <c r="J54" s="179"/>
    </row>
    <row r="55" spans="2:10" ht="11.25" customHeight="1">
      <c r="B55" s="180" t="str">
        <f>+'Dades empresa'!$C$6</f>
        <v>INNALTECH</v>
      </c>
      <c r="C55" s="178"/>
      <c r="D55" s="178"/>
      <c r="E55" s="179"/>
      <c r="G55" s="180" t="str">
        <f>+'Dades empresa'!$C$6</f>
        <v>INNALTECH</v>
      </c>
      <c r="H55" s="178"/>
      <c r="I55" s="178"/>
      <c r="J55" s="179"/>
    </row>
    <row r="56" spans="2:10" ht="11.25" customHeight="1">
      <c r="B56" s="180" t="str">
        <f>+'Dades empresa'!$C$7</f>
        <v>CARRER</v>
      </c>
      <c r="C56" s="178"/>
      <c r="D56" s="178"/>
      <c r="E56" s="179"/>
      <c r="G56" s="180" t="str">
        <f>+'Dades empresa'!$C$7</f>
        <v>CARRER</v>
      </c>
      <c r="H56" s="178"/>
      <c r="I56" s="178"/>
      <c r="J56" s="179"/>
    </row>
    <row r="57" spans="2:10" ht="11.25" customHeight="1">
      <c r="B57" s="180" t="str">
        <f>+'Dades empresa'!$C$8&amp;" "&amp;'Dades empresa'!$C$9&amp;" ("&amp;'Dades empresa'!$C$10&amp;")"</f>
        <v>XXXXXX SALLENT (BARCELONA)</v>
      </c>
      <c r="C57" s="181"/>
      <c r="D57" s="181"/>
      <c r="E57" s="201"/>
      <c r="G57" s="180" t="str">
        <f>+'Dades empresa'!$C$8&amp;" "&amp;'Dades empresa'!$C$9&amp;" ("&amp;'Dades empresa'!$C$10&amp;")"</f>
        <v>XXXXXX SALLENT (BARCELONA)</v>
      </c>
      <c r="H57" s="181"/>
      <c r="I57" s="181"/>
      <c r="J57" s="201"/>
    </row>
    <row r="58" spans="2:10" ht="11.25" customHeight="1" thickBot="1">
      <c r="B58" s="182"/>
      <c r="C58" s="183"/>
      <c r="D58" s="183"/>
      <c r="E58" s="184"/>
      <c r="G58" s="182"/>
      <c r="H58" s="183"/>
      <c r="I58" s="183"/>
      <c r="J58" s="184"/>
    </row>
  </sheetData>
  <sheetProtection password="A489" sheet="1" selectLockedCells="1" selectUnlockedCells="1"/>
  <mergeCells count="32">
    <mergeCell ref="D45:D47"/>
    <mergeCell ref="I45:I47"/>
    <mergeCell ref="C53:D53"/>
    <mergeCell ref="H53:I53"/>
    <mergeCell ref="D48:D49"/>
    <mergeCell ref="I48:I49"/>
    <mergeCell ref="B51:E51"/>
    <mergeCell ref="G51:J51"/>
    <mergeCell ref="C52:D52"/>
    <mergeCell ref="H52:I52"/>
    <mergeCell ref="E33:E34"/>
    <mergeCell ref="B36:E40"/>
    <mergeCell ref="G36:J40"/>
    <mergeCell ref="D43:D44"/>
    <mergeCell ref="I43:I44"/>
    <mergeCell ref="J33:J34"/>
    <mergeCell ref="H24:I24"/>
    <mergeCell ref="C23:D23"/>
    <mergeCell ref="H23:I23"/>
    <mergeCell ref="C24:D24"/>
    <mergeCell ref="D16:D18"/>
    <mergeCell ref="I16:I18"/>
    <mergeCell ref="D19:D20"/>
    <mergeCell ref="I19:I20"/>
    <mergeCell ref="B22:E22"/>
    <mergeCell ref="G22:J22"/>
    <mergeCell ref="E4:E5"/>
    <mergeCell ref="J4:J5"/>
    <mergeCell ref="B7:E11"/>
    <mergeCell ref="G7:J11"/>
    <mergeCell ref="D14:D15"/>
    <mergeCell ref="I14:I15"/>
  </mergeCells>
  <conditionalFormatting sqref="I43:I49 D43:D49 I14:I20 D14:D20">
    <cfRule type="cellIs" dxfId="9" priority="17" operator="equal">
      <formula>"***"</formula>
    </cfRule>
    <cfRule type="cellIs" dxfId="8" priority="18" operator="equal">
      <formula>"**"</formula>
    </cfRule>
    <cfRule type="cellIs" dxfId="7" priority="19" operator="equal">
      <formula>"*"</formula>
    </cfRule>
  </conditionalFormatting>
  <conditionalFormatting sqref="C14:C20 H14:H20 C43:C49 H43:H49">
    <cfRule type="cellIs" dxfId="6" priority="1" operator="equal">
      <formula>"◄G"</formula>
    </cfRule>
    <cfRule type="cellIs" dxfId="5" priority="2" operator="equal">
      <formula>"◄F"</formula>
    </cfRule>
    <cfRule type="cellIs" dxfId="4" priority="3" operator="equal">
      <formula>"◄E"</formula>
    </cfRule>
    <cfRule type="cellIs" dxfId="3" priority="4" operator="equal">
      <formula>"◄D"</formula>
    </cfRule>
    <cfRule type="cellIs" dxfId="2" priority="5" operator="equal">
      <formula>"◄C"</formula>
    </cfRule>
    <cfRule type="cellIs" dxfId="1" priority="6" operator="equal">
      <formula>"◄B"</formula>
    </cfRule>
    <cfRule type="cellIs" dxfId="0" priority="7" operator="equal">
      <formula>"◄A"</formula>
    </cfRule>
  </conditionalFormatting>
  <pageMargins left="0.47" right="0.48" top="0.83" bottom="0.42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9C0C-3841-4137-B2AA-016D3684BB93}">
  <sheetPr codeName="Hoja2"/>
  <dimension ref="B1:F70"/>
  <sheetViews>
    <sheetView zoomScale="85" zoomScaleNormal="85" workbookViewId="0">
      <selection activeCell="B63" sqref="B63"/>
    </sheetView>
  </sheetViews>
  <sheetFormatPr defaultColWidth="11.42578125" defaultRowHeight="12.75"/>
  <cols>
    <col min="1" max="1" width="1.5703125" style="156" customWidth="1"/>
    <col min="2" max="2" width="36.140625" style="156" customWidth="1"/>
    <col min="3" max="3" width="7" style="156" customWidth="1"/>
    <col min="4" max="4" width="6.7109375" style="156" customWidth="1"/>
    <col min="5" max="5" width="36.140625" style="156" customWidth="1"/>
    <col min="6" max="6" width="7" style="156" customWidth="1"/>
    <col min="7" max="7" width="9.140625" style="156" customWidth="1"/>
    <col min="8" max="8" width="12.28515625" style="156" bestFit="1" customWidth="1"/>
    <col min="9" max="16384" width="11.42578125" style="156"/>
  </cols>
  <sheetData>
    <row r="1" spans="2:6">
      <c r="B1" s="185" t="str">
        <f>IF(ISBLANK('Dades finestra'!D25)=TRUE," ",'Dades finestra'!D25)</f>
        <v xml:space="preserve"> </v>
      </c>
      <c r="E1" s="185" t="str">
        <f>IF(ISBLANK('Dades finestra'!D49)=TRUE," ",'Dades finestra'!D49)</f>
        <v xml:space="preserve"> </v>
      </c>
    </row>
    <row r="2" spans="2:6" ht="5.25" customHeight="1" thickBot="1"/>
    <row r="3" spans="2:6">
      <c r="B3" s="186"/>
      <c r="C3" s="187"/>
      <c r="E3" s="186"/>
      <c r="F3" s="187"/>
    </row>
    <row r="4" spans="2:6">
      <c r="B4" s="161"/>
      <c r="C4" s="188"/>
      <c r="E4" s="161"/>
      <c r="F4" s="188"/>
    </row>
    <row r="5" spans="2:6">
      <c r="B5" s="161"/>
      <c r="C5" s="188"/>
      <c r="E5" s="161"/>
      <c r="F5" s="188"/>
    </row>
    <row r="6" spans="2:6">
      <c r="B6" s="161"/>
      <c r="C6" s="188"/>
      <c r="E6" s="161"/>
      <c r="F6" s="188"/>
    </row>
    <row r="7" spans="2:6" ht="13.5" thickBot="1">
      <c r="B7" s="182"/>
      <c r="C7" s="184"/>
      <c r="E7" s="182"/>
      <c r="F7" s="184"/>
    </row>
    <row r="8" spans="2:6" ht="7.5" customHeight="1">
      <c r="B8" s="249"/>
      <c r="C8" s="250"/>
      <c r="E8" s="249"/>
      <c r="F8" s="250"/>
    </row>
    <row r="9" spans="2:6">
      <c r="B9" s="247" t="str">
        <f>+'Dades empresa'!C6</f>
        <v>INNALTECH</v>
      </c>
      <c r="C9" s="248"/>
      <c r="E9" s="247" t="str">
        <f>+'Dades empresa'!C6</f>
        <v>INNALTECH</v>
      </c>
      <c r="F9" s="248"/>
    </row>
    <row r="10" spans="2:6">
      <c r="B10" s="247" t="str">
        <f>+'Dades empresa'!C7</f>
        <v>CARRER</v>
      </c>
      <c r="C10" s="248"/>
      <c r="E10" s="247" t="str">
        <f>+'Dades empresa'!C7</f>
        <v>CARRER</v>
      </c>
      <c r="F10" s="248"/>
    </row>
    <row r="11" spans="2:6">
      <c r="B11" s="247" t="str">
        <f>+'Dades empresa'!C8&amp;" "&amp;'Dades empresa'!C9&amp;" ("&amp;'Dades empresa'!C10&amp;")"</f>
        <v>XXXXXX SALLENT (BARCELONA)</v>
      </c>
      <c r="C11" s="248"/>
      <c r="E11" s="247" t="str">
        <f>+'Dades empresa'!C8&amp;" "&amp;'Dades empresa'!C9&amp;" ("&amp;'Dades empresa'!C10&amp;")"</f>
        <v>XXXXXX SALLENT (BARCELONA)</v>
      </c>
      <c r="F11" s="248"/>
    </row>
    <row r="12" spans="2:6" ht="6" customHeight="1">
      <c r="B12" s="200"/>
      <c r="C12" s="201"/>
      <c r="E12" s="200"/>
      <c r="F12" s="201"/>
    </row>
    <row r="13" spans="2:6">
      <c r="B13" s="247">
        <v>10</v>
      </c>
      <c r="C13" s="248"/>
      <c r="E13" s="247">
        <v>10</v>
      </c>
      <c r="F13" s="248"/>
    </row>
    <row r="14" spans="2:6" ht="6" customHeight="1" thickBot="1">
      <c r="B14" s="253"/>
      <c r="C14" s="254"/>
      <c r="E14" s="253"/>
      <c r="F14" s="254"/>
    </row>
    <row r="15" spans="2:6" ht="6" customHeight="1">
      <c r="B15" s="189"/>
      <c r="C15" s="190"/>
      <c r="E15" s="189"/>
      <c r="F15" s="190"/>
    </row>
    <row r="16" spans="2:6">
      <c r="B16" s="247" t="s">
        <v>156</v>
      </c>
      <c r="C16" s="248"/>
      <c r="E16" s="247" t="s">
        <v>156</v>
      </c>
      <c r="F16" s="248"/>
    </row>
    <row r="17" spans="2:6" ht="6" customHeight="1">
      <c r="B17" s="180"/>
      <c r="C17" s="191"/>
      <c r="E17" s="180"/>
      <c r="F17" s="191"/>
    </row>
    <row r="18" spans="2:6">
      <c r="B18" s="251" t="str">
        <f>+"Finestra exterior per a ús públic/privat "&amp;'Dades finestra'!I21&amp;" de "&amp;'Dades finestra'!D10&amp;" fulles amb vidre "&amp;'Dades finestra'!D20&amp;" de la sèrie "&amp;'Dades finestra'!D8&amp;" en color "&amp;'Dades finestra'!D9&amp;", de mides "&amp;'Dades finestra'!D13&amp;" X "&amp;'Dades finestra'!D14</f>
        <v>Finestra exterior per a ús públic/privat PRACTICABLE de 1 fulles amb vidre 4+4 Silence/18/6 Guardian Sun de la sèrie PRACTIC HO 70 RPT en color SG8019, de mides 1400 X 2150</v>
      </c>
      <c r="C18" s="252"/>
      <c r="D18" s="181"/>
      <c r="E18" s="251" t="str">
        <f>+"Finestra exterior per a ús públic/privat "&amp;'Dades finestra'!I45&amp;" de "&amp;'Dades finestra'!D34&amp;" fulles amb vidre "&amp;'Dades finestra'!D44&amp;" de la sèrie "&amp;'Dades finestra'!D32&amp;" en color "&amp;'Dades finestra'!D33&amp;", de mides "&amp;'Dades finestra'!D37&amp;" X "&amp;'Dades finestra'!D38</f>
        <v>Finestra exterior per a ús públic/privat PRACTICABLE de 1 fulles amb vidre 4+4 Silence/18/6 Guardian Sun de la sèrie PRACTIC 65 RPT en color SG8019, de mides 300 X 300</v>
      </c>
      <c r="F18" s="252"/>
    </row>
    <row r="19" spans="2:6">
      <c r="B19" s="251"/>
      <c r="C19" s="252"/>
      <c r="D19" s="181"/>
      <c r="E19" s="251"/>
      <c r="F19" s="252"/>
    </row>
    <row r="20" spans="2:6">
      <c r="B20" s="251"/>
      <c r="C20" s="252"/>
      <c r="D20" s="181"/>
      <c r="E20" s="251"/>
      <c r="F20" s="252"/>
    </row>
    <row r="21" spans="2:6">
      <c r="B21" s="251"/>
      <c r="C21" s="252"/>
      <c r="D21" s="181"/>
      <c r="E21" s="251"/>
      <c r="F21" s="252"/>
    </row>
    <row r="22" spans="2:6">
      <c r="B22" s="180"/>
      <c r="C22" s="191"/>
      <c r="E22" s="180"/>
      <c r="F22" s="191"/>
    </row>
    <row r="23" spans="2:6">
      <c r="B23" s="180" t="s">
        <v>157</v>
      </c>
      <c r="C23" s="201" t="str">
        <f>IF(ISNA('Dades finestra'!G18)=TRUE," ",'Dades finestra'!G18)</f>
        <v>1</v>
      </c>
      <c r="E23" s="180" t="s">
        <v>157</v>
      </c>
      <c r="F23" s="201">
        <f>IF(ISNA('Dades finestra'!G42)=TRUE," ",'Dades finestra'!G42)</f>
        <v>5</v>
      </c>
    </row>
    <row r="24" spans="2:6">
      <c r="B24" s="180" t="s">
        <v>158</v>
      </c>
      <c r="C24" s="201" t="str">
        <f>IF(ISNA('Dades finestra'!G19)=TRUE," ",'Dades finestra'!G19)</f>
        <v>C</v>
      </c>
      <c r="E24" s="180" t="s">
        <v>158</v>
      </c>
      <c r="F24" s="201" t="str">
        <f>IF(ISNA('Dades finestra'!G43)=TRUE," ",'Dades finestra'!G43)</f>
        <v>C</v>
      </c>
    </row>
    <row r="25" spans="2:6">
      <c r="B25" s="180" t="s">
        <v>159</v>
      </c>
      <c r="C25" s="201" t="str">
        <f>IF(ISNA('Dades finestra'!G20)=TRUE," ",'Dades finestra'!G20)</f>
        <v>E900</v>
      </c>
      <c r="E25" s="180" t="s">
        <v>159</v>
      </c>
      <c r="F25" s="201" t="str">
        <f>IF(ISNA('Dades finestra'!G44)=TRUE," ",'Dades finestra'!G44)</f>
        <v>E1500</v>
      </c>
    </row>
    <row r="26" spans="2:6">
      <c r="B26" s="180" t="s">
        <v>160</v>
      </c>
      <c r="C26" s="201" t="s">
        <v>161</v>
      </c>
      <c r="E26" s="180" t="s">
        <v>160</v>
      </c>
      <c r="F26" s="201" t="s">
        <v>161</v>
      </c>
    </row>
    <row r="27" spans="2:6">
      <c r="B27" s="180" t="s">
        <v>162</v>
      </c>
      <c r="C27" s="201" t="s">
        <v>161</v>
      </c>
      <c r="E27" s="180" t="s">
        <v>162</v>
      </c>
      <c r="F27" s="201" t="s">
        <v>161</v>
      </c>
    </row>
    <row r="28" spans="2:6">
      <c r="B28" s="180" t="s">
        <v>163</v>
      </c>
      <c r="C28" s="201"/>
      <c r="E28" s="180" t="s">
        <v>163</v>
      </c>
      <c r="F28" s="201"/>
    </row>
    <row r="29" spans="2:6">
      <c r="B29" s="180" t="s">
        <v>164</v>
      </c>
      <c r="C29" s="201" t="str">
        <f>IF(ISNA('Dades finestra'!G21)=TRUE," ",'Dades finestra'!G21)</f>
        <v>NPD</v>
      </c>
      <c r="E29" s="180" t="s">
        <v>164</v>
      </c>
      <c r="F29" s="201" t="str">
        <f>'Dades finestra'!G45</f>
        <v>NPD</v>
      </c>
    </row>
    <row r="30" spans="2:6" ht="5.25" customHeight="1">
      <c r="B30" s="180"/>
      <c r="C30" s="201"/>
      <c r="E30" s="180"/>
      <c r="F30" s="201"/>
    </row>
    <row r="31" spans="2:6">
      <c r="B31" s="180" t="s">
        <v>165</v>
      </c>
      <c r="C31" s="201">
        <f>IF(ISNA('Dades finestra'!G22)=TRUE," ",'Dades finestra'!G22)</f>
        <v>34</v>
      </c>
      <c r="E31" s="180" t="s">
        <v>165</v>
      </c>
      <c r="F31" s="192">
        <f>IF(ISNA('Dades finestra'!G46)=TRUE," ",'Dades finestra'!G46)</f>
        <v>37</v>
      </c>
    </row>
    <row r="32" spans="2:6">
      <c r="B32" s="180" t="s">
        <v>166</v>
      </c>
      <c r="C32" s="179">
        <f>IF(ISNA('Dades finestra'!G14)=TRUE," ",'Dades finestra'!G14)</f>
        <v>1.2354925302325581</v>
      </c>
      <c r="E32" s="180" t="s">
        <v>166</v>
      </c>
      <c r="F32" s="179">
        <f>IF(ISNA('Dades finestra'!G38)=TRUE," ",'Dades finestra'!G38)</f>
        <v>2.3297466666666664</v>
      </c>
    </row>
    <row r="33" spans="2:6">
      <c r="B33" s="180" t="s">
        <v>167</v>
      </c>
      <c r="C33" s="201">
        <f>IF(ISNA('Dades finestra'!G24)=TRUE," ",'Dades finestra'!G24)</f>
        <v>4</v>
      </c>
      <c r="E33" s="180" t="s">
        <v>167</v>
      </c>
      <c r="F33" s="201">
        <f>IF(ISNA('Dades finestra'!G48)=TRUE," ",'Dades finestra'!G48)</f>
        <v>4</v>
      </c>
    </row>
    <row r="34" spans="2:6" ht="6" customHeight="1" thickBot="1">
      <c r="B34" s="182"/>
      <c r="C34" s="184"/>
      <c r="E34" s="182"/>
      <c r="F34" s="184"/>
    </row>
    <row r="35" spans="2:6" ht="6" customHeight="1"/>
    <row r="36" spans="2:6" ht="6" customHeight="1"/>
    <row r="37" spans="2:6" ht="13.5" customHeight="1">
      <c r="B37" s="193" t="str">
        <f>IF(ISBLANK('Dades finestra'!D74)=TRUE," ",'Dades finestra'!D74)</f>
        <v xml:space="preserve"> </v>
      </c>
      <c r="E37" s="193" t="str">
        <f>IF(ISBLANK('Dades finestra'!D99)=TRUE," ",'Dades finestra'!D99)</f>
        <v xml:space="preserve"> </v>
      </c>
    </row>
    <row r="38" spans="2:6" ht="5.25" customHeight="1" thickBot="1"/>
    <row r="39" spans="2:6">
      <c r="B39" s="186"/>
      <c r="C39" s="187"/>
      <c r="E39" s="186"/>
      <c r="F39" s="187"/>
    </row>
    <row r="40" spans="2:6">
      <c r="B40" s="161"/>
      <c r="C40" s="188"/>
      <c r="E40" s="161"/>
      <c r="F40" s="188"/>
    </row>
    <row r="41" spans="2:6">
      <c r="B41" s="161"/>
      <c r="C41" s="188"/>
      <c r="E41" s="161"/>
      <c r="F41" s="188"/>
    </row>
    <row r="42" spans="2:6">
      <c r="B42" s="161"/>
      <c r="C42" s="188"/>
      <c r="E42" s="161"/>
      <c r="F42" s="188"/>
    </row>
    <row r="43" spans="2:6" ht="13.5" thickBot="1">
      <c r="B43" s="182"/>
      <c r="C43" s="184"/>
      <c r="E43" s="182"/>
      <c r="F43" s="184"/>
    </row>
    <row r="44" spans="2:6" ht="7.5" customHeight="1">
      <c r="B44" s="249"/>
      <c r="C44" s="250"/>
      <c r="E44" s="249"/>
      <c r="F44" s="250"/>
    </row>
    <row r="45" spans="2:6">
      <c r="B45" s="247" t="str">
        <f>+'Dades empresa'!C6</f>
        <v>INNALTECH</v>
      </c>
      <c r="C45" s="248"/>
      <c r="E45" s="247" t="str">
        <f>+'Dades empresa'!C6</f>
        <v>INNALTECH</v>
      </c>
      <c r="F45" s="248"/>
    </row>
    <row r="46" spans="2:6">
      <c r="B46" s="247" t="str">
        <f>+'Dades empresa'!C7</f>
        <v>CARRER</v>
      </c>
      <c r="C46" s="248"/>
      <c r="E46" s="247" t="str">
        <f>+'Dades empresa'!C7</f>
        <v>CARRER</v>
      </c>
      <c r="F46" s="248"/>
    </row>
    <row r="47" spans="2:6">
      <c r="B47" s="247" t="str">
        <f>+'Dades empresa'!C8&amp;" "&amp;'Dades empresa'!C9&amp;" ("&amp;'Dades empresa'!C10&amp;")"</f>
        <v>XXXXXX SALLENT (BARCELONA)</v>
      </c>
      <c r="C47" s="248"/>
      <c r="E47" s="247" t="str">
        <f>+'Dades empresa'!C8&amp;" "&amp;'Dades empresa'!C9&amp;" ("&amp;'Dades empresa'!C10&amp;")"</f>
        <v>XXXXXX SALLENT (BARCELONA)</v>
      </c>
      <c r="F47" s="248"/>
    </row>
    <row r="48" spans="2:6" ht="6" customHeight="1">
      <c r="B48" s="200"/>
      <c r="C48" s="201"/>
      <c r="E48" s="200"/>
      <c r="F48" s="201"/>
    </row>
    <row r="49" spans="2:6">
      <c r="B49" s="247">
        <v>10</v>
      </c>
      <c r="C49" s="248"/>
      <c r="E49" s="247">
        <v>10</v>
      </c>
      <c r="F49" s="248"/>
    </row>
    <row r="50" spans="2:6" ht="6" customHeight="1" thickBot="1">
      <c r="B50" s="253"/>
      <c r="C50" s="254"/>
      <c r="E50" s="253"/>
      <c r="F50" s="254"/>
    </row>
    <row r="51" spans="2:6" ht="6" customHeight="1">
      <c r="B51" s="189"/>
      <c r="C51" s="190"/>
      <c r="E51" s="189"/>
      <c r="F51" s="190"/>
    </row>
    <row r="52" spans="2:6">
      <c r="B52" s="247" t="s">
        <v>156</v>
      </c>
      <c r="C52" s="248"/>
      <c r="E52" s="247" t="s">
        <v>156</v>
      </c>
      <c r="F52" s="248"/>
    </row>
    <row r="53" spans="2:6" ht="6" customHeight="1">
      <c r="B53" s="180"/>
      <c r="C53" s="191"/>
      <c r="E53" s="180"/>
      <c r="F53" s="191"/>
    </row>
    <row r="54" spans="2:6">
      <c r="B54" s="251" t="str">
        <f>+"Finestra exterior per a ús públic/privat "&amp;'Dades finestra'!I70&amp;" de "&amp;'Dades finestra'!D59&amp;" fulles amb vidre "&amp;'Dades finestra'!D69&amp;" de la sèrie "&amp;'Dades finestra'!D57&amp;" en color "&amp;'Dades finestra'!D58&amp;", de mides "&amp;'Dades finestra'!D62&amp;" X "&amp;'Dades finestra'!D63</f>
        <v>Finestra exterior per a ús públic/privat PRACTICABLE de 1 fulles amb vidre 4+4 Silence/18/6 Guardian Sun de la sèrie PRACTIC 65 RPT en color SG8019, de mides 800 X 2150</v>
      </c>
      <c r="C54" s="252"/>
      <c r="E54" s="251" t="str">
        <f>+"Finestra exterior per a ús públic/privat "&amp;'Dades finestra'!I95&amp;" de "&amp;'Dades finestra'!D84&amp;" fulles amb vidre "&amp;'Dades finestra'!D94&amp;" de la sèrie "&amp;'Dades finestra'!D82&amp;" en color "&amp;'Dades finestra'!D83&amp;", de mides "&amp;'Dades finestra'!D87&amp;" X "&amp;'Dades finestra'!D88</f>
        <v>Finestra exterior per a ús públic/privat OSCIL·LOBATENT de 1 fulles amb vidre 4+4 Silence/18/6 Guardian Sun de la sèrie PRACTIC 65 RPT en color SG8019, de mides 800 X 1150</v>
      </c>
      <c r="F54" s="252"/>
    </row>
    <row r="55" spans="2:6">
      <c r="B55" s="251"/>
      <c r="C55" s="252"/>
      <c r="E55" s="251"/>
      <c r="F55" s="252"/>
    </row>
    <row r="56" spans="2:6">
      <c r="B56" s="251"/>
      <c r="C56" s="252"/>
      <c r="E56" s="251"/>
      <c r="F56" s="252"/>
    </row>
    <row r="57" spans="2:6">
      <c r="B57" s="251"/>
      <c r="C57" s="252"/>
      <c r="E57" s="251"/>
      <c r="F57" s="252"/>
    </row>
    <row r="58" spans="2:6">
      <c r="B58" s="180"/>
      <c r="C58" s="191"/>
      <c r="E58" s="180"/>
      <c r="F58" s="191"/>
    </row>
    <row r="59" spans="2:6">
      <c r="B59" s="180" t="s">
        <v>157</v>
      </c>
      <c r="C59" s="201">
        <f>IF(ISNA('Dades finestra'!G67)=TRUE," ",'Dades finestra'!G67)</f>
        <v>2</v>
      </c>
      <c r="E59" s="180" t="s">
        <v>157</v>
      </c>
      <c r="F59" s="201">
        <f>IF(ISNA('Dades finestra'!G92)=TRUE," ",'Dades finestra'!G92)</f>
        <v>5</v>
      </c>
    </row>
    <row r="60" spans="2:6">
      <c r="B60" s="180" t="s">
        <v>158</v>
      </c>
      <c r="C60" s="201" t="str">
        <f>IF(ISNA('Dades finestra'!G68)=TRUE," ",'Dades finestra'!G68)</f>
        <v>C</v>
      </c>
      <c r="E60" s="180" t="s">
        <v>158</v>
      </c>
      <c r="F60" s="201" t="str">
        <f>IF(ISNA('Dades finestra'!G93)=TRUE," ",'Dades finestra'!G93)</f>
        <v>C</v>
      </c>
    </row>
    <row r="61" spans="2:6">
      <c r="B61" s="180" t="s">
        <v>159</v>
      </c>
      <c r="C61" s="201" t="str">
        <f>IF(ISNA('Dades finestra'!G69)=TRUE," ",'Dades finestra'!G69)</f>
        <v>E1500</v>
      </c>
      <c r="E61" s="180" t="s">
        <v>159</v>
      </c>
      <c r="F61" s="201" t="str">
        <f>IF(ISNA('Dades finestra'!G94)=TRUE," ",'Dades finestra'!G94)</f>
        <v>E1500</v>
      </c>
    </row>
    <row r="62" spans="2:6">
      <c r="B62" s="180" t="s">
        <v>160</v>
      </c>
      <c r="C62" s="201" t="s">
        <v>161</v>
      </c>
      <c r="E62" s="180" t="s">
        <v>160</v>
      </c>
      <c r="F62" s="201" t="s">
        <v>161</v>
      </c>
    </row>
    <row r="63" spans="2:6">
      <c r="B63" s="180" t="s">
        <v>162</v>
      </c>
      <c r="C63" s="201" t="s">
        <v>161</v>
      </c>
      <c r="E63" s="180" t="s">
        <v>162</v>
      </c>
      <c r="F63" s="201" t="s">
        <v>161</v>
      </c>
    </row>
    <row r="64" spans="2:6">
      <c r="B64" s="180" t="s">
        <v>163</v>
      </c>
      <c r="C64" s="201"/>
      <c r="E64" s="180" t="s">
        <v>163</v>
      </c>
      <c r="F64" s="201"/>
    </row>
    <row r="65" spans="2:6">
      <c r="B65" s="180" t="s">
        <v>164</v>
      </c>
      <c r="C65" s="201" t="str">
        <f>IF(ISNA('Dades finestra'!G70)=TRUE," ",'Dades finestra'!G70)</f>
        <v>NPD</v>
      </c>
      <c r="E65" s="180" t="s">
        <v>164</v>
      </c>
      <c r="F65" s="201" t="str">
        <f>'Dades finestra'!G95</f>
        <v>APTE</v>
      </c>
    </row>
    <row r="66" spans="2:6" ht="5.25" customHeight="1">
      <c r="B66" s="180"/>
      <c r="C66" s="201"/>
      <c r="E66" s="180"/>
      <c r="F66" s="201"/>
    </row>
    <row r="67" spans="2:6">
      <c r="B67" s="180" t="s">
        <v>165</v>
      </c>
      <c r="C67" s="201">
        <f>IF(ISNA('Dades finestra'!G71)=TRUE," ",'Dades finestra'!G71)</f>
        <v>37</v>
      </c>
      <c r="E67" s="180" t="s">
        <v>165</v>
      </c>
      <c r="F67" s="201">
        <f>IF(ISNA('Dades finestra'!G96)=TRUE," ",'Dades finestra'!G96)</f>
        <v>37</v>
      </c>
    </row>
    <row r="68" spans="2:6">
      <c r="B68" s="180" t="s">
        <v>166</v>
      </c>
      <c r="C68" s="179">
        <f>IF(ISNA('Dades finestra'!G63)=TRUE," ",'Dades finestra'!G63)</f>
        <v>1.5205543023255814</v>
      </c>
      <c r="E68" s="180" t="s">
        <v>166</v>
      </c>
      <c r="F68" s="179">
        <f>IF(ISNA('Dades finestra'!G88)=TRUE," ",'Dades finestra'!G88)</f>
        <v>1.7492682282608696</v>
      </c>
    </row>
    <row r="69" spans="2:6">
      <c r="B69" s="180" t="s">
        <v>167</v>
      </c>
      <c r="C69" s="201">
        <f>IF(ISNA('Dades finestra'!G73)=TRUE," ",'Dades finestra'!G73)</f>
        <v>4</v>
      </c>
      <c r="E69" s="180" t="s">
        <v>167</v>
      </c>
      <c r="F69" s="201">
        <f>IF(ISNA('Dades finestra'!G98)=TRUE," ",'Dades finestra'!G98)</f>
        <v>4</v>
      </c>
    </row>
    <row r="70" spans="2:6" ht="6" customHeight="1" thickBot="1">
      <c r="B70" s="182"/>
      <c r="C70" s="184"/>
      <c r="E70" s="182"/>
      <c r="F70" s="184"/>
    </row>
  </sheetData>
  <sheetProtection password="A489" sheet="1"/>
  <mergeCells count="32">
    <mergeCell ref="B54:C57"/>
    <mergeCell ref="E54:F57"/>
    <mergeCell ref="B50:C50"/>
    <mergeCell ref="E50:F50"/>
    <mergeCell ref="B52:C52"/>
    <mergeCell ref="E52:F52"/>
    <mergeCell ref="B14:C14"/>
    <mergeCell ref="B13:C13"/>
    <mergeCell ref="B47:C47"/>
    <mergeCell ref="E47:F47"/>
    <mergeCell ref="B49:C49"/>
    <mergeCell ref="E49:F49"/>
    <mergeCell ref="B45:C45"/>
    <mergeCell ref="E45:F45"/>
    <mergeCell ref="B46:C46"/>
    <mergeCell ref="E46:F46"/>
    <mergeCell ref="B11:C11"/>
    <mergeCell ref="B10:C10"/>
    <mergeCell ref="B44:C44"/>
    <mergeCell ref="E8:F8"/>
    <mergeCell ref="E9:F9"/>
    <mergeCell ref="E10:F10"/>
    <mergeCell ref="E11:F11"/>
    <mergeCell ref="B9:C9"/>
    <mergeCell ref="B8:C8"/>
    <mergeCell ref="E44:F44"/>
    <mergeCell ref="E18:F21"/>
    <mergeCell ref="B18:C21"/>
    <mergeCell ref="E13:F13"/>
    <mergeCell ref="E14:F14"/>
    <mergeCell ref="E16:F16"/>
    <mergeCell ref="B16:C16"/>
  </mergeCells>
  <phoneticPr fontId="4" type="noConversion"/>
  <pageMargins left="0.47" right="0.48" top="0.83" bottom="0.42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...</dc:creator>
  <cp:keywords/>
  <dc:description/>
  <cp:lastModifiedBy>X</cp:lastModifiedBy>
  <cp:revision/>
  <dcterms:created xsi:type="dcterms:W3CDTF">2010-04-12T14:40:45Z</dcterms:created>
  <dcterms:modified xsi:type="dcterms:W3CDTF">2025-09-17T13:30:25Z</dcterms:modified>
  <cp:category/>
  <cp:contentStatus/>
</cp:coreProperties>
</file>